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ЭтаКнига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T:\Нефтиса\Управление по региональной политике и социальным вопросам\Тендеры\2025\Уралнефтесервис\210825 ЭП 1\"/>
    </mc:Choice>
  </mc:AlternateContent>
  <xr:revisionPtr revIDLastSave="0" documentId="13_ncr:1_{B88E42A0-54A8-4A1D-8FF9-C96A68C91119}" xr6:coauthVersionLast="47" xr6:coauthVersionMax="47" xr10:uidLastSave="{00000000-0000-0000-0000-000000000000}"/>
  <bookViews>
    <workbookView xWindow="-110" yWindow="-110" windowWidth="25820" windowHeight="14020" firstSheet="1" activeTab="2" xr2:uid="{00000000-000D-0000-FFFF-FFFF00000000}"/>
  </bookViews>
  <sheets>
    <sheet name="ССР" sheetId="9" state="veryHidden" r:id="rId1"/>
    <sheet name="ТЗ" sheetId="31" r:id="rId2"/>
    <sheet name="РВ" sheetId="32" r:id="rId3"/>
    <sheet name="УточСтоимОборМат" sheetId="26" state="veryHidden" r:id="rId4"/>
    <sheet name="Оборуд" sheetId="23" state="hidden" r:id="rId5"/>
    <sheet name="стОборуд" sheetId="24" state="hidden" r:id="rId6"/>
    <sheet name="ст" sheetId="25" state="hidden" r:id="rId7"/>
    <sheet name="СпецОпорИнжЭлектрСетей" sheetId="28" state="hidden" r:id="rId8"/>
  </sheets>
  <definedNames>
    <definedName name="_xlnm._FilterDatabase" localSheetId="4" hidden="1">Оборуд!$A$3:$I$131</definedName>
    <definedName name="_xlnm._FilterDatabase" localSheetId="2" hidden="1">РВ!$B$1:$B$630</definedName>
    <definedName name="_xlnm._FilterDatabase" localSheetId="0" hidden="1">ССР!$B$15:$Q$963</definedName>
    <definedName name="_xlnm._FilterDatabase" localSheetId="1" hidden="1">ТЗ!$B$2:$B$86</definedName>
    <definedName name="вахта">ССР!$C$3</definedName>
    <definedName name="врем">ССР!$C$1</definedName>
    <definedName name="_xlnm.Print_Titles" localSheetId="0">ССР!$15:$15</definedName>
    <definedName name="_xlnm.Print_Titles" localSheetId="5">стОборуд!$6:$6</definedName>
    <definedName name="зим">ССР!$C$2</definedName>
    <definedName name="_xlnm.Print_Area" localSheetId="2">РВ!$A$1:$H$48</definedName>
    <definedName name="_xlnm.Print_Area" localSheetId="0">ССР!$B$7:$L$974</definedName>
    <definedName name="Оборуд.">ССР!$C$6</definedName>
    <definedName name="прочие">ССР!$C$4</definedName>
    <definedName name="СМР">ССР!$C$5</definedName>
  </definedNames>
  <calcPr calcId="191029"/>
  <pivotCaches>
    <pivotCache cacheId="0" r:id="rId9"/>
    <pivotCache cacheId="1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8" i="32" l="1"/>
  <c r="A9" i="32" s="1"/>
  <c r="A10" i="32" s="1"/>
  <c r="A11" i="32" s="1"/>
  <c r="A12" i="32" s="1"/>
  <c r="A13" i="32" s="1"/>
  <c r="A14" i="32" s="1"/>
  <c r="A15" i="32" s="1"/>
  <c r="A16" i="32" s="1"/>
  <c r="A17" i="32" s="1"/>
  <c r="A18" i="32" s="1"/>
  <c r="A19" i="32" s="1"/>
  <c r="A20" i="32" s="1"/>
  <c r="A21" i="32" s="1"/>
  <c r="A22" i="32" s="1"/>
  <c r="A23" i="32" s="1"/>
  <c r="A24" i="32" s="1"/>
  <c r="A25" i="32" s="1"/>
  <c r="A26" i="32" s="1"/>
  <c r="A27" i="32" s="1"/>
  <c r="A28" i="32" s="1"/>
  <c r="A29" i="32" s="1"/>
  <c r="A30" i="32" s="1"/>
  <c r="A31" i="32" s="1"/>
  <c r="A32" i="32" s="1"/>
  <c r="A34" i="31" l="1"/>
  <c r="A35" i="31" s="1"/>
  <c r="A36" i="31" l="1"/>
  <c r="A37" i="31" s="1"/>
  <c r="A38" i="31" s="1"/>
  <c r="A39" i="31" s="1"/>
  <c r="A40" i="31" s="1"/>
  <c r="A41" i="31" s="1"/>
  <c r="A42" i="31" s="1"/>
  <c r="A43" i="31" s="1"/>
  <c r="A44" i="31" s="1"/>
  <c r="A78" i="31"/>
  <c r="A79" i="31" s="1"/>
  <c r="A80" i="31" s="1"/>
  <c r="A81" i="31" s="1"/>
  <c r="A82" i="31" l="1"/>
  <c r="A83" i="31" s="1"/>
  <c r="A84" i="31" s="1"/>
  <c r="A85" i="31" s="1"/>
  <c r="A86" i="31" s="1"/>
  <c r="A87" i="31" s="1"/>
  <c r="L80" i="28"/>
  <c r="L79" i="28" s="1"/>
  <c r="L78" i="28" s="1"/>
  <c r="L77" i="28" s="1"/>
  <c r="L76" i="28" s="1"/>
  <c r="L75" i="28" s="1"/>
  <c r="L74" i="28" s="1"/>
  <c r="L73" i="28" s="1"/>
  <c r="L72" i="28" s="1"/>
  <c r="L71" i="28" s="1"/>
  <c r="L70" i="28" s="1"/>
  <c r="L69" i="28" s="1"/>
  <c r="L68" i="28" s="1"/>
  <c r="L67" i="28" s="1"/>
  <c r="L66" i="28" s="1"/>
  <c r="L65" i="28" s="1"/>
  <c r="L64" i="28" s="1"/>
  <c r="L63" i="28" s="1"/>
  <c r="L62" i="28" s="1"/>
  <c r="L61" i="28" s="1"/>
  <c r="L60" i="28" s="1"/>
  <c r="L59" i="28" s="1"/>
  <c r="L58" i="28" s="1"/>
  <c r="L57" i="28" s="1"/>
  <c r="L56" i="28" s="1"/>
  <c r="K46" i="28" s="1"/>
  <c r="I67" i="28"/>
  <c r="I66" i="28" s="1"/>
  <c r="I65" i="28" s="1"/>
  <c r="I64" i="28" s="1"/>
  <c r="I63" i="28" s="1"/>
  <c r="I62" i="28" s="1"/>
  <c r="I61" i="28" s="1"/>
  <c r="I60" i="28" s="1"/>
  <c r="I59" i="28" s="1"/>
  <c r="I58" i="28" s="1"/>
  <c r="I57" i="28" s="1"/>
  <c r="I56" i="28" s="1"/>
  <c r="H46" i="28" s="1"/>
  <c r="R55" i="28" a="1"/>
  <c r="R55" i="28" s="1"/>
  <c r="Q55" i="28"/>
  <c r="P55" i="28"/>
  <c r="O55" i="28"/>
  <c r="N55" i="28"/>
  <c r="M55" i="28"/>
  <c r="L55" i="28"/>
  <c r="K55" i="28"/>
  <c r="J55" i="28"/>
  <c r="I55" i="28"/>
  <c r="H55" i="28"/>
  <c r="S54" i="28"/>
  <c r="T54" i="28" s="1"/>
  <c r="S53" i="28"/>
  <c r="T53" i="28" s="1"/>
  <c r="S52" i="28"/>
  <c r="T52" i="28" s="1"/>
  <c r="S51" i="28"/>
  <c r="T51" i="28" s="1"/>
  <c r="S50" i="28"/>
  <c r="T50" i="28" s="1"/>
  <c r="S49" i="28"/>
  <c r="T49" i="28" s="1"/>
  <c r="T48" i="28"/>
  <c r="S48" i="28"/>
  <c r="S47" i="28"/>
  <c r="T47" i="28" s="1"/>
  <c r="K42" i="28"/>
  <c r="K41" i="28" s="1"/>
  <c r="K40" i="28" s="1"/>
  <c r="K39" i="28" s="1"/>
  <c r="K38" i="28" s="1"/>
  <c r="K37" i="28" s="1"/>
  <c r="K36" i="28" s="1"/>
  <c r="K35" i="28" s="1"/>
  <c r="K34" i="28" s="1"/>
  <c r="K33" i="28" s="1"/>
  <c r="K32" i="28" s="1"/>
  <c r="K31" i="28" s="1"/>
  <c r="K30" i="28" s="1"/>
  <c r="K29" i="28" s="1"/>
  <c r="K28" i="28" s="1"/>
  <c r="K27" i="28" s="1"/>
  <c r="K26" i="28" s="1"/>
  <c r="K25" i="28" s="1"/>
  <c r="K24" i="28" s="1"/>
  <c r="K23" i="28" s="1"/>
  <c r="K22" i="28" s="1"/>
  <c r="K21" i="28" s="1"/>
  <c r="K20" i="28" s="1"/>
  <c r="K19" i="28" s="1"/>
  <c r="K18" i="28" s="1"/>
  <c r="J5" i="28" s="1"/>
  <c r="M32" i="28"/>
  <c r="M31" i="28" s="1"/>
  <c r="M30" i="28" s="1"/>
  <c r="M29" i="28" s="1"/>
  <c r="M28" i="28" s="1"/>
  <c r="M27" i="28" s="1"/>
  <c r="M26" i="28" s="1"/>
  <c r="M25" i="28" s="1"/>
  <c r="M24" i="28" s="1"/>
  <c r="M23" i="28" s="1"/>
  <c r="M22" i="28" s="1"/>
  <c r="M21" i="28" s="1"/>
  <c r="M20" i="28" s="1"/>
  <c r="M19" i="28" s="1"/>
  <c r="M18" i="28" s="1"/>
  <c r="L5" i="28" s="1"/>
  <c r="AA23" i="28"/>
  <c r="AA22" i="28" s="1"/>
  <c r="AA21" i="28" s="1"/>
  <c r="AA20" i="28" s="1"/>
  <c r="AA19" i="28" s="1"/>
  <c r="AA18" i="28" s="1"/>
  <c r="Z5" i="28" s="1"/>
  <c r="Y23" i="28"/>
  <c r="AE22" i="28"/>
  <c r="AE21" i="28" s="1"/>
  <c r="AE20" i="28" s="1"/>
  <c r="AE19" i="28" s="1"/>
  <c r="AE18" i="28" s="1"/>
  <c r="AD5" i="28" s="1"/>
  <c r="Y22" i="28"/>
  <c r="Y21" i="28" s="1"/>
  <c r="Y20" i="28" s="1"/>
  <c r="Y19" i="28" s="1"/>
  <c r="Y18" i="28" s="1"/>
  <c r="X5" i="28" s="1"/>
  <c r="BE21" i="28"/>
  <c r="BQ20" i="28"/>
  <c r="BJ20" i="28"/>
  <c r="BJ19" i="28" s="1"/>
  <c r="BJ18" i="28" s="1"/>
  <c r="BI5" i="28" s="1"/>
  <c r="BE20" i="28"/>
  <c r="BE19" i="28" s="1"/>
  <c r="BE18" i="28" s="1"/>
  <c r="BD5" i="28" s="1"/>
  <c r="AO20" i="28"/>
  <c r="AO19" i="28" s="1"/>
  <c r="AO18" i="28" s="1"/>
  <c r="AN5" i="28" s="1"/>
  <c r="AM20" i="28"/>
  <c r="BQ19" i="28"/>
  <c r="AQ19" i="28"/>
  <c r="AQ18" i="28" s="1"/>
  <c r="AP5" i="28" s="1"/>
  <c r="AM19" i="28"/>
  <c r="AM18" i="28" s="1"/>
  <c r="AL5" i="28" s="1"/>
  <c r="BQ18" i="28"/>
  <c r="BP5" i="28" s="1"/>
  <c r="BP17" i="28"/>
  <c r="BO17" i="28"/>
  <c r="BN17" i="28"/>
  <c r="BM17" i="28"/>
  <c r="BL17" i="28"/>
  <c r="BK17" i="28"/>
  <c r="BJ17" i="28"/>
  <c r="BI17" i="28"/>
  <c r="BH17" i="28"/>
  <c r="BG17" i="28"/>
  <c r="BF17" i="28"/>
  <c r="BE17" i="28"/>
  <c r="BD17" i="28"/>
  <c r="BC17" i="28"/>
  <c r="BB17" i="28"/>
  <c r="BA17" i="28"/>
  <c r="AZ17" i="28"/>
  <c r="AY17" i="28"/>
  <c r="AX17" i="28"/>
  <c r="AW17" i="28"/>
  <c r="AV17" i="28"/>
  <c r="AU17" i="28"/>
  <c r="AT17" i="28"/>
  <c r="AS17" i="28"/>
  <c r="AR17" i="28"/>
  <c r="AQ17" i="28"/>
  <c r="AP17" i="28"/>
  <c r="AO17" i="28"/>
  <c r="AN17" i="28"/>
  <c r="AM17" i="28"/>
  <c r="AL17" i="28"/>
  <c r="AK17" i="28"/>
  <c r="AJ17" i="28"/>
  <c r="AI17" i="28"/>
  <c r="AH17" i="28"/>
  <c r="AG17" i="28"/>
  <c r="AF17" i="28"/>
  <c r="AE17" i="28"/>
  <c r="AD17" i="28"/>
  <c r="AC17" i="28"/>
  <c r="AB17" i="28"/>
  <c r="AA17" i="28"/>
  <c r="Z17" i="28"/>
  <c r="Y17" i="28"/>
  <c r="X17" i="28"/>
  <c r="W17" i="28"/>
  <c r="V17" i="28"/>
  <c r="U17" i="28"/>
  <c r="T17" i="28"/>
  <c r="S17" i="28"/>
  <c r="R17" i="28"/>
  <c r="Q17" i="28"/>
  <c r="P17" i="28"/>
  <c r="O17" i="28"/>
  <c r="N17" i="28"/>
  <c r="M17" i="28"/>
  <c r="L17" i="28"/>
  <c r="K17" i="28"/>
  <c r="J17" i="28"/>
  <c r="I17" i="28"/>
  <c r="H17" i="28"/>
  <c r="BQ16" i="28"/>
  <c r="BR16" i="28" s="1"/>
  <c r="BQ15" i="28"/>
  <c r="BR15" i="28" s="1"/>
  <c r="BQ14" i="28"/>
  <c r="BR14" i="28" s="1"/>
  <c r="BQ13" i="28"/>
  <c r="BR13" i="28" s="1"/>
  <c r="BQ12" i="28"/>
  <c r="BR12" i="28" s="1"/>
  <c r="BQ11" i="28"/>
  <c r="BR11" i="28" s="1"/>
  <c r="BQ10" i="28"/>
  <c r="BR10" i="28" s="1"/>
  <c r="BQ9" i="28"/>
  <c r="BR9" i="28" s="1"/>
  <c r="BQ8" i="28"/>
  <c r="BR8" i="28" s="1"/>
  <c r="BQ7" i="28"/>
  <c r="BR7" i="28" s="1"/>
  <c r="BQ6" i="28"/>
  <c r="BR6" i="28" s="1"/>
  <c r="H131" i="23"/>
  <c r="I130" i="23"/>
  <c r="G130" i="23"/>
  <c r="I129" i="23"/>
  <c r="G129" i="23"/>
  <c r="I128" i="23"/>
  <c r="G128" i="23"/>
  <c r="I127" i="23"/>
  <c r="G127" i="23"/>
  <c r="I126" i="23"/>
  <c r="G126" i="23"/>
  <c r="I125" i="23"/>
  <c r="G125" i="23"/>
  <c r="I124" i="23"/>
  <c r="G124" i="23"/>
  <c r="I123" i="23"/>
  <c r="G123" i="23"/>
  <c r="I122" i="23"/>
  <c r="G122" i="23"/>
  <c r="I121" i="23"/>
  <c r="G121" i="23"/>
  <c r="I120" i="23"/>
  <c r="G120" i="23"/>
  <c r="I119" i="23"/>
  <c r="G119" i="23"/>
  <c r="I118" i="23"/>
  <c r="G118" i="23"/>
  <c r="I117" i="23"/>
  <c r="G117" i="23"/>
  <c r="I116" i="23"/>
  <c r="G116" i="23"/>
  <c r="I115" i="23"/>
  <c r="G115" i="23"/>
  <c r="I114" i="23"/>
  <c r="G114" i="23"/>
  <c r="I113" i="23"/>
  <c r="G113" i="23"/>
  <c r="I112" i="23"/>
  <c r="G112" i="23"/>
  <c r="I111" i="23"/>
  <c r="G111" i="23"/>
  <c r="I110" i="23"/>
  <c r="G110" i="23"/>
  <c r="I109" i="23"/>
  <c r="G109" i="23"/>
  <c r="I108" i="23"/>
  <c r="G108" i="23"/>
  <c r="I107" i="23"/>
  <c r="G107" i="23"/>
  <c r="I106" i="23"/>
  <c r="G106" i="23"/>
  <c r="I105" i="23"/>
  <c r="G105" i="23"/>
  <c r="I104" i="23"/>
  <c r="G104" i="23"/>
  <c r="I103" i="23"/>
  <c r="G103" i="23"/>
  <c r="I102" i="23"/>
  <c r="G102" i="23"/>
  <c r="I101" i="23"/>
  <c r="G101" i="23"/>
  <c r="I100" i="23"/>
  <c r="G100" i="23"/>
  <c r="I99" i="23"/>
  <c r="G99" i="23"/>
  <c r="I98" i="23"/>
  <c r="G98" i="23"/>
  <c r="I97" i="23"/>
  <c r="G97" i="23"/>
  <c r="I96" i="23"/>
  <c r="G96" i="23"/>
  <c r="I95" i="23"/>
  <c r="G95" i="23"/>
  <c r="I94" i="23"/>
  <c r="G94" i="23"/>
  <c r="I93" i="23"/>
  <c r="G93" i="23"/>
  <c r="I92" i="23"/>
  <c r="G92" i="23"/>
  <c r="I91" i="23"/>
  <c r="G91" i="23"/>
  <c r="I90" i="23"/>
  <c r="G90" i="23"/>
  <c r="I89" i="23"/>
  <c r="G89" i="23"/>
  <c r="I88" i="23"/>
  <c r="G88" i="23"/>
  <c r="I87" i="23"/>
  <c r="G87" i="23"/>
  <c r="I86" i="23"/>
  <c r="G86" i="23"/>
  <c r="I85" i="23"/>
  <c r="G85" i="23"/>
  <c r="I84" i="23"/>
  <c r="G84" i="23"/>
  <c r="I83" i="23"/>
  <c r="G83" i="23"/>
  <c r="I82" i="23"/>
  <c r="G82" i="23"/>
  <c r="I81" i="23"/>
  <c r="G81" i="23"/>
  <c r="I80" i="23"/>
  <c r="G80" i="23"/>
  <c r="I79" i="23"/>
  <c r="G79" i="23"/>
  <c r="I78" i="23"/>
  <c r="G78" i="23"/>
  <c r="I77" i="23"/>
  <c r="G77" i="23"/>
  <c r="I76" i="23"/>
  <c r="G76" i="23"/>
  <c r="I75" i="23"/>
  <c r="G75" i="23"/>
  <c r="I74" i="23"/>
  <c r="G74" i="23"/>
  <c r="I73" i="23"/>
  <c r="G73" i="23"/>
  <c r="I72" i="23"/>
  <c r="G72" i="23"/>
  <c r="I71" i="23"/>
  <c r="G71" i="23"/>
  <c r="I70" i="23"/>
  <c r="G70" i="23"/>
  <c r="I69" i="23"/>
  <c r="G69" i="23"/>
  <c r="I68" i="23"/>
  <c r="G68" i="23"/>
  <c r="I67" i="23"/>
  <c r="G67" i="23"/>
  <c r="I66" i="23"/>
  <c r="G66" i="23"/>
  <c r="I65" i="23"/>
  <c r="G65" i="23"/>
  <c r="I64" i="23"/>
  <c r="G64" i="23"/>
  <c r="I63" i="23"/>
  <c r="G63" i="23"/>
  <c r="I62" i="23"/>
  <c r="G62" i="23"/>
  <c r="I61" i="23"/>
  <c r="G61" i="23"/>
  <c r="I60" i="23"/>
  <c r="G60" i="23"/>
  <c r="I59" i="23"/>
  <c r="G59" i="23"/>
  <c r="I58" i="23"/>
  <c r="G58" i="23"/>
  <c r="I57" i="23"/>
  <c r="G57" i="23"/>
  <c r="I56" i="23"/>
  <c r="G56" i="23"/>
  <c r="I55" i="23"/>
  <c r="G55" i="23"/>
  <c r="I54" i="23"/>
  <c r="G54" i="23"/>
  <c r="I53" i="23"/>
  <c r="G53" i="23"/>
  <c r="I52" i="23"/>
  <c r="G52" i="23"/>
  <c r="I51" i="23"/>
  <c r="G51" i="23"/>
  <c r="I50" i="23"/>
  <c r="G50" i="23"/>
  <c r="I49" i="23"/>
  <c r="G49" i="23"/>
  <c r="I48" i="23"/>
  <c r="G48" i="23"/>
  <c r="I47" i="23"/>
  <c r="G47" i="23"/>
  <c r="I46" i="23"/>
  <c r="G46" i="23"/>
  <c r="I45" i="23"/>
  <c r="G45" i="23"/>
  <c r="I44" i="23"/>
  <c r="G44" i="23"/>
  <c r="I43" i="23"/>
  <c r="G43" i="23"/>
  <c r="I42" i="23"/>
  <c r="G42" i="23"/>
  <c r="I41" i="23"/>
  <c r="G41" i="23"/>
  <c r="I40" i="23"/>
  <c r="G40" i="23"/>
  <c r="I39" i="23"/>
  <c r="G39" i="23"/>
  <c r="I38" i="23"/>
  <c r="G38" i="23"/>
  <c r="I37" i="23"/>
  <c r="G37" i="23"/>
  <c r="I36" i="23"/>
  <c r="G36" i="23"/>
  <c r="I35" i="23"/>
  <c r="G35" i="23"/>
  <c r="I34" i="23"/>
  <c r="G34" i="23"/>
  <c r="I33" i="23"/>
  <c r="G33" i="23"/>
  <c r="I32" i="23"/>
  <c r="G32" i="23"/>
  <c r="I31" i="23"/>
  <c r="G31" i="23"/>
  <c r="I30" i="23"/>
  <c r="G30" i="23"/>
  <c r="I29" i="23"/>
  <c r="G29" i="23"/>
  <c r="I28" i="23"/>
  <c r="G28" i="23"/>
  <c r="I27" i="23"/>
  <c r="G27" i="23"/>
  <c r="I26" i="23"/>
  <c r="G26" i="23"/>
  <c r="I25" i="23"/>
  <c r="G25" i="23"/>
  <c r="I24" i="23"/>
  <c r="G24" i="23"/>
  <c r="I23" i="23"/>
  <c r="G23" i="23"/>
  <c r="I22" i="23"/>
  <c r="G22" i="23"/>
  <c r="I21" i="23"/>
  <c r="G21" i="23"/>
  <c r="I20" i="23"/>
  <c r="G20" i="23"/>
  <c r="I19" i="23"/>
  <c r="G19" i="23"/>
  <c r="I18" i="23"/>
  <c r="G18" i="23"/>
  <c r="I17" i="23"/>
  <c r="G17" i="23"/>
  <c r="I16" i="23"/>
  <c r="G16" i="23"/>
  <c r="I15" i="23"/>
  <c r="G15" i="23"/>
  <c r="I14" i="23"/>
  <c r="G14" i="23"/>
  <c r="I13" i="23"/>
  <c r="G13" i="23"/>
  <c r="I12" i="23"/>
  <c r="G12" i="23"/>
  <c r="I11" i="23"/>
  <c r="G11" i="23"/>
  <c r="I10" i="23"/>
  <c r="G10" i="23"/>
  <c r="I9" i="23"/>
  <c r="G9" i="23"/>
  <c r="I8" i="23"/>
  <c r="G8" i="23"/>
  <c r="I7" i="23"/>
  <c r="G7" i="23"/>
  <c r="I6" i="23"/>
  <c r="G6" i="23"/>
  <c r="I5" i="23"/>
  <c r="G5" i="23"/>
  <c r="I4" i="23"/>
  <c r="G4" i="23"/>
  <c r="L29" i="26"/>
  <c r="J28" i="26"/>
  <c r="J27" i="26"/>
  <c r="J26" i="26"/>
  <c r="J25" i="26"/>
  <c r="J24" i="26"/>
  <c r="J23" i="26"/>
  <c r="J22" i="26"/>
  <c r="J21" i="26"/>
  <c r="J29" i="26" s="1"/>
  <c r="O18" i="26"/>
  <c r="J18" i="26"/>
  <c r="H18" i="26"/>
  <c r="I18" i="26" s="1"/>
  <c r="L18" i="26" s="1"/>
  <c r="O17" i="26"/>
  <c r="J17" i="26"/>
  <c r="I17" i="26"/>
  <c r="L17" i="26" s="1"/>
  <c r="O16" i="26"/>
  <c r="J16" i="26"/>
  <c r="I16" i="26"/>
  <c r="L16" i="26" s="1"/>
  <c r="O15" i="26"/>
  <c r="J15" i="26"/>
  <c r="I15" i="26"/>
  <c r="L15" i="26" s="1"/>
  <c r="O14" i="26"/>
  <c r="J14" i="26"/>
  <c r="I14" i="26"/>
  <c r="L14" i="26" s="1"/>
  <c r="O13" i="26"/>
  <c r="J13" i="26"/>
  <c r="I13" i="26"/>
  <c r="L13" i="26" s="1"/>
  <c r="O12" i="26"/>
  <c r="J12" i="26"/>
  <c r="H12" i="26"/>
  <c r="I12" i="26" s="1"/>
  <c r="L12" i="26" s="1"/>
  <c r="O11" i="26"/>
  <c r="J11" i="26"/>
  <c r="H11" i="26"/>
  <c r="I11" i="26" s="1"/>
  <c r="L11" i="26" s="1"/>
  <c r="O10" i="26"/>
  <c r="J10" i="26"/>
  <c r="H10" i="26"/>
  <c r="I10" i="26" s="1"/>
  <c r="L10" i="26" s="1"/>
  <c r="O9" i="26"/>
  <c r="J9" i="26"/>
  <c r="I9" i="26"/>
  <c r="L9" i="26" s="1"/>
  <c r="O8" i="26"/>
  <c r="J8" i="26"/>
  <c r="H8" i="26"/>
  <c r="I8" i="26" s="1"/>
  <c r="L8" i="26" s="1"/>
  <c r="O7" i="26"/>
  <c r="J7" i="26"/>
  <c r="I7" i="26"/>
  <c r="L7" i="26" s="1"/>
  <c r="L19" i="26" s="1"/>
  <c r="L31" i="26" s="1"/>
  <c r="H7" i="26"/>
  <c r="O6" i="26"/>
  <c r="J6" i="26"/>
  <c r="I6" i="26"/>
  <c r="L6" i="26" s="1"/>
  <c r="O5" i="26"/>
  <c r="J5" i="26"/>
  <c r="I5" i="26"/>
  <c r="L5" i="26" s="1"/>
  <c r="O4" i="26"/>
  <c r="J4" i="26"/>
  <c r="I4" i="26"/>
  <c r="L4" i="26" s="1"/>
  <c r="O3" i="26"/>
  <c r="J3" i="26"/>
  <c r="J19" i="26" s="1"/>
  <c r="J31" i="26" s="1"/>
  <c r="I3" i="26"/>
  <c r="L3" i="26" s="1"/>
  <c r="L961" i="9"/>
  <c r="L953" i="9"/>
  <c r="K953" i="9"/>
  <c r="L952" i="9"/>
  <c r="K952" i="9"/>
  <c r="L951" i="9"/>
  <c r="K951" i="9"/>
  <c r="L949" i="9"/>
  <c r="K949" i="9"/>
  <c r="L948" i="9"/>
  <c r="K948" i="9"/>
  <c r="L947" i="9"/>
  <c r="K947" i="9"/>
  <c r="I944" i="9"/>
  <c r="O943" i="9"/>
  <c r="N943" i="9"/>
  <c r="L943" i="9"/>
  <c r="K943" i="9"/>
  <c r="O942" i="9"/>
  <c r="N942" i="9"/>
  <c r="L942" i="9" s="1"/>
  <c r="O941" i="9"/>
  <c r="N941" i="9"/>
  <c r="L941" i="9" s="1"/>
  <c r="O940" i="9"/>
  <c r="N940" i="9"/>
  <c r="L940" i="9"/>
  <c r="O939" i="9"/>
  <c r="N939" i="9"/>
  <c r="L939" i="9" s="1"/>
  <c r="H939" i="9"/>
  <c r="H936" i="9" s="1"/>
  <c r="H931" i="9" s="1"/>
  <c r="O938" i="9"/>
  <c r="N938" i="9"/>
  <c r="L938" i="9" s="1"/>
  <c r="O937" i="9"/>
  <c r="N937" i="9"/>
  <c r="L937" i="9" s="1"/>
  <c r="L936" i="9" s="1"/>
  <c r="L931" i="9" s="1"/>
  <c r="O936" i="9"/>
  <c r="N936" i="9"/>
  <c r="O935" i="9"/>
  <c r="N935" i="9"/>
  <c r="L935" i="9" s="1"/>
  <c r="G935" i="9" s="1"/>
  <c r="I935" i="9"/>
  <c r="J935" i="9" s="1"/>
  <c r="H935" i="9"/>
  <c r="K935" i="9" s="1"/>
  <c r="O934" i="9"/>
  <c r="N934" i="9"/>
  <c r="L934" i="9"/>
  <c r="G934" i="9" s="1"/>
  <c r="H934" i="9"/>
  <c r="O933" i="9"/>
  <c r="N933" i="9"/>
  <c r="L933" i="9" s="1"/>
  <c r="G933" i="9" s="1"/>
  <c r="I933" i="9"/>
  <c r="J933" i="9" s="1"/>
  <c r="H933" i="9"/>
  <c r="K933" i="9" s="1"/>
  <c r="O932" i="9"/>
  <c r="L932" i="9" s="1"/>
  <c r="N932" i="9"/>
  <c r="O931" i="9"/>
  <c r="N931" i="9"/>
  <c r="O930" i="9"/>
  <c r="N930" i="9"/>
  <c r="L930" i="9" s="1"/>
  <c r="H930" i="9"/>
  <c r="H926" i="9" s="1"/>
  <c r="H921" i="9" s="1"/>
  <c r="O929" i="9"/>
  <c r="N929" i="9"/>
  <c r="L929" i="9" s="1"/>
  <c r="O928" i="9"/>
  <c r="N928" i="9"/>
  <c r="L928" i="9"/>
  <c r="O927" i="9"/>
  <c r="N927" i="9"/>
  <c r="L927" i="9" s="1"/>
  <c r="L926" i="9" s="1"/>
  <c r="L921" i="9" s="1"/>
  <c r="O926" i="9"/>
  <c r="N926" i="9"/>
  <c r="O925" i="9"/>
  <c r="N925" i="9"/>
  <c r="L925" i="9"/>
  <c r="G925" i="9" s="1"/>
  <c r="H925" i="9"/>
  <c r="I925" i="9" s="1"/>
  <c r="J925" i="9" s="1"/>
  <c r="O924" i="9"/>
  <c r="N924" i="9"/>
  <c r="L924" i="9" s="1"/>
  <c r="G924" i="9" s="1"/>
  <c r="H924" i="9"/>
  <c r="O923" i="9"/>
  <c r="N923" i="9"/>
  <c r="L923" i="9"/>
  <c r="G923" i="9" s="1"/>
  <c r="J923" i="9"/>
  <c r="H923" i="9"/>
  <c r="I923" i="9" s="1"/>
  <c r="O922" i="9"/>
  <c r="L922" i="9" s="1"/>
  <c r="N922" i="9"/>
  <c r="O921" i="9"/>
  <c r="N921" i="9"/>
  <c r="O920" i="9"/>
  <c r="N920" i="9"/>
  <c r="L920" i="9" s="1"/>
  <c r="H920" i="9"/>
  <c r="F920" i="9"/>
  <c r="O919" i="9"/>
  <c r="N919" i="9"/>
  <c r="L919" i="9" s="1"/>
  <c r="H919" i="9"/>
  <c r="F919" i="9"/>
  <c r="O918" i="9"/>
  <c r="N918" i="9"/>
  <c r="L918" i="9"/>
  <c r="O917" i="9"/>
  <c r="N917" i="9"/>
  <c r="L917" i="9" s="1"/>
  <c r="O916" i="9"/>
  <c r="N916" i="9"/>
  <c r="L916" i="9" s="1"/>
  <c r="O915" i="9"/>
  <c r="N915" i="9"/>
  <c r="L915" i="9" s="1"/>
  <c r="O914" i="9"/>
  <c r="N914" i="9"/>
  <c r="L914" i="9" s="1"/>
  <c r="H914" i="9"/>
  <c r="F914" i="9"/>
  <c r="O913" i="9"/>
  <c r="N913" i="9"/>
  <c r="L913" i="9" s="1"/>
  <c r="H913" i="9"/>
  <c r="F913" i="9"/>
  <c r="O912" i="9"/>
  <c r="N912" i="9"/>
  <c r="L912" i="9"/>
  <c r="H912" i="9"/>
  <c r="O911" i="9"/>
  <c r="N911" i="9"/>
  <c r="L911" i="9" s="1"/>
  <c r="H911" i="9"/>
  <c r="F911" i="9"/>
  <c r="O910" i="9"/>
  <c r="N910" i="9"/>
  <c r="L910" i="9" s="1"/>
  <c r="O909" i="9"/>
  <c r="N909" i="9"/>
  <c r="L909" i="9" s="1"/>
  <c r="O908" i="9"/>
  <c r="N908" i="9"/>
  <c r="L908" i="9" s="1"/>
  <c r="O907" i="9"/>
  <c r="N907" i="9"/>
  <c r="L907" i="9"/>
  <c r="O906" i="9"/>
  <c r="N906" i="9"/>
  <c r="L906" i="9" s="1"/>
  <c r="H906" i="9"/>
  <c r="O905" i="9"/>
  <c r="N905" i="9"/>
  <c r="L905" i="9" s="1"/>
  <c r="O904" i="9"/>
  <c r="N904" i="9"/>
  <c r="L904" i="9" s="1"/>
  <c r="O903" i="9"/>
  <c r="N903" i="9"/>
  <c r="L903" i="9" s="1"/>
  <c r="O902" i="9"/>
  <c r="N902" i="9"/>
  <c r="L902" i="9" s="1"/>
  <c r="O901" i="9"/>
  <c r="N901" i="9"/>
  <c r="L901" i="9" s="1"/>
  <c r="H901" i="9"/>
  <c r="F901" i="9"/>
  <c r="O900" i="9"/>
  <c r="N900" i="9"/>
  <c r="L900" i="9" s="1"/>
  <c r="H900" i="9"/>
  <c r="F900" i="9"/>
  <c r="O899" i="9"/>
  <c r="N899" i="9"/>
  <c r="L899" i="9" s="1"/>
  <c r="H899" i="9"/>
  <c r="F899" i="9"/>
  <c r="O898" i="9"/>
  <c r="N898" i="9"/>
  <c r="L898" i="9"/>
  <c r="H898" i="9"/>
  <c r="F898" i="9"/>
  <c r="O897" i="9"/>
  <c r="N897" i="9"/>
  <c r="L897" i="9" s="1"/>
  <c r="O896" i="9"/>
  <c r="N896" i="9"/>
  <c r="L896" i="9" s="1"/>
  <c r="O895" i="9"/>
  <c r="N895" i="9"/>
  <c r="L895" i="9" s="1"/>
  <c r="O894" i="9"/>
  <c r="N894" i="9"/>
  <c r="L894" i="9" s="1"/>
  <c r="O893" i="9"/>
  <c r="N893" i="9"/>
  <c r="L893" i="9" s="1"/>
  <c r="O892" i="9"/>
  <c r="N892" i="9"/>
  <c r="L892" i="9"/>
  <c r="O891" i="9"/>
  <c r="N891" i="9"/>
  <c r="L891" i="9" s="1"/>
  <c r="O890" i="9"/>
  <c r="L890" i="9" s="1"/>
  <c r="N890" i="9"/>
  <c r="O889" i="9"/>
  <c r="N889" i="9"/>
  <c r="L889" i="9" s="1"/>
  <c r="O888" i="9"/>
  <c r="N888" i="9"/>
  <c r="L888" i="9" s="1"/>
  <c r="O887" i="9"/>
  <c r="N887" i="9"/>
  <c r="L887" i="9" s="1"/>
  <c r="O886" i="9"/>
  <c r="N886" i="9"/>
  <c r="L886" i="9" s="1"/>
  <c r="H886" i="9"/>
  <c r="F886" i="9"/>
  <c r="O885" i="9"/>
  <c r="N885" i="9"/>
  <c r="L885" i="9" s="1"/>
  <c r="O884" i="9"/>
  <c r="N884" i="9"/>
  <c r="L884" i="9"/>
  <c r="H884" i="9"/>
  <c r="F884" i="9"/>
  <c r="O883" i="9"/>
  <c r="N883" i="9"/>
  <c r="L883" i="9" s="1"/>
  <c r="H883" i="9"/>
  <c r="F883" i="9"/>
  <c r="O882" i="9"/>
  <c r="N882" i="9"/>
  <c r="L882" i="9" s="1"/>
  <c r="H882" i="9"/>
  <c r="O881" i="9"/>
  <c r="N881" i="9"/>
  <c r="L881" i="9"/>
  <c r="O880" i="9"/>
  <c r="N880" i="9"/>
  <c r="L880" i="9" s="1"/>
  <c r="O879" i="9"/>
  <c r="N879" i="9"/>
  <c r="L879" i="9" s="1"/>
  <c r="H879" i="9"/>
  <c r="O878" i="9"/>
  <c r="N878" i="9"/>
  <c r="L878" i="9" s="1"/>
  <c r="H878" i="9"/>
  <c r="O877" i="9"/>
  <c r="N877" i="9"/>
  <c r="L877" i="9" s="1"/>
  <c r="H877" i="9"/>
  <c r="O876" i="9"/>
  <c r="N876" i="9"/>
  <c r="L876" i="9" s="1"/>
  <c r="H876" i="9"/>
  <c r="O875" i="9"/>
  <c r="N875" i="9"/>
  <c r="L875" i="9" s="1"/>
  <c r="O874" i="9"/>
  <c r="N874" i="9"/>
  <c r="L874" i="9" s="1"/>
  <c r="O873" i="9"/>
  <c r="L873" i="9" s="1"/>
  <c r="N873" i="9"/>
  <c r="O872" i="9"/>
  <c r="N872" i="9"/>
  <c r="L872" i="9"/>
  <c r="H872" i="9"/>
  <c r="O871" i="9"/>
  <c r="N871" i="9"/>
  <c r="L871" i="9"/>
  <c r="H871" i="9"/>
  <c r="O870" i="9"/>
  <c r="N870" i="9"/>
  <c r="L870" i="9"/>
  <c r="O869" i="9"/>
  <c r="N869" i="9"/>
  <c r="L869" i="9" s="1"/>
  <c r="O868" i="9"/>
  <c r="N868" i="9"/>
  <c r="L868" i="9" s="1"/>
  <c r="O867" i="9"/>
  <c r="N867" i="9"/>
  <c r="L867" i="9" s="1"/>
  <c r="O866" i="9"/>
  <c r="N866" i="9"/>
  <c r="L866" i="9"/>
  <c r="O865" i="9"/>
  <c r="N865" i="9"/>
  <c r="L865" i="9" s="1"/>
  <c r="H865" i="9"/>
  <c r="O864" i="9"/>
  <c r="N864" i="9"/>
  <c r="L864" i="9" s="1"/>
  <c r="H864" i="9"/>
  <c r="O863" i="9"/>
  <c r="N863" i="9"/>
  <c r="L863" i="9" s="1"/>
  <c r="O862" i="9"/>
  <c r="N862" i="9"/>
  <c r="L862" i="9" s="1"/>
  <c r="O861" i="9"/>
  <c r="L861" i="9" s="1"/>
  <c r="N861" i="9"/>
  <c r="O860" i="9"/>
  <c r="N860" i="9"/>
  <c r="L860" i="9" s="1"/>
  <c r="O859" i="9"/>
  <c r="N859" i="9"/>
  <c r="L859" i="9" s="1"/>
  <c r="O858" i="9"/>
  <c r="N858" i="9"/>
  <c r="L858" i="9"/>
  <c r="O857" i="9"/>
  <c r="N857" i="9"/>
  <c r="L857" i="9" s="1"/>
  <c r="O856" i="9"/>
  <c r="N856" i="9"/>
  <c r="L856" i="9" s="1"/>
  <c r="O855" i="9"/>
  <c r="N855" i="9"/>
  <c r="L855" i="9" s="1"/>
  <c r="O854" i="9"/>
  <c r="N854" i="9"/>
  <c r="L854" i="9"/>
  <c r="O853" i="9"/>
  <c r="N853" i="9"/>
  <c r="L853" i="9" s="1"/>
  <c r="O852" i="9"/>
  <c r="N852" i="9"/>
  <c r="L852" i="9" s="1"/>
  <c r="O851" i="9"/>
  <c r="N851" i="9"/>
  <c r="L851" i="9" s="1"/>
  <c r="O850" i="9"/>
  <c r="N850" i="9"/>
  <c r="L850" i="9"/>
  <c r="O849" i="9"/>
  <c r="N849" i="9"/>
  <c r="L849" i="9" s="1"/>
  <c r="O848" i="9"/>
  <c r="N848" i="9"/>
  <c r="L848" i="9" s="1"/>
  <c r="O847" i="9"/>
  <c r="N847" i="9"/>
  <c r="L847" i="9" s="1"/>
  <c r="O846" i="9"/>
  <c r="N846" i="9"/>
  <c r="L846" i="9"/>
  <c r="O845" i="9"/>
  <c r="N845" i="9"/>
  <c r="L845" i="9" s="1"/>
  <c r="O844" i="9"/>
  <c r="N844" i="9"/>
  <c r="L844" i="9" s="1"/>
  <c r="O843" i="9"/>
  <c r="N843" i="9"/>
  <c r="L843" i="9" s="1"/>
  <c r="H843" i="9"/>
  <c r="O842" i="9"/>
  <c r="N842" i="9"/>
  <c r="L842" i="9" s="1"/>
  <c r="O841" i="9"/>
  <c r="L841" i="9" s="1"/>
  <c r="N841" i="9"/>
  <c r="O840" i="9"/>
  <c r="L840" i="9" s="1"/>
  <c r="N840" i="9"/>
  <c r="O839" i="9"/>
  <c r="N839" i="9"/>
  <c r="L839" i="9" s="1"/>
  <c r="O838" i="9"/>
  <c r="N838" i="9"/>
  <c r="L838" i="9" s="1"/>
  <c r="O837" i="9"/>
  <c r="N837" i="9"/>
  <c r="L837" i="9"/>
  <c r="O836" i="9"/>
  <c r="N836" i="9"/>
  <c r="L836" i="9" s="1"/>
  <c r="O835" i="9"/>
  <c r="N835" i="9"/>
  <c r="L835" i="9" s="1"/>
  <c r="O834" i="9"/>
  <c r="N834" i="9"/>
  <c r="L834" i="9" s="1"/>
  <c r="O833" i="9"/>
  <c r="N833" i="9"/>
  <c r="L833" i="9"/>
  <c r="O832" i="9"/>
  <c r="N832" i="9"/>
  <c r="L832" i="9" s="1"/>
  <c r="O831" i="9"/>
  <c r="N831" i="9"/>
  <c r="L831" i="9" s="1"/>
  <c r="O830" i="9"/>
  <c r="N830" i="9"/>
  <c r="L830" i="9" s="1"/>
  <c r="O829" i="9"/>
  <c r="N829" i="9"/>
  <c r="L829" i="9"/>
  <c r="O828" i="9"/>
  <c r="N828" i="9"/>
  <c r="L828" i="9" s="1"/>
  <c r="O827" i="9"/>
  <c r="N827" i="9"/>
  <c r="L827" i="9" s="1"/>
  <c r="O826" i="9"/>
  <c r="N826" i="9"/>
  <c r="L826" i="9" s="1"/>
  <c r="O825" i="9"/>
  <c r="N825" i="9"/>
  <c r="L825" i="9"/>
  <c r="O824" i="9"/>
  <c r="N824" i="9"/>
  <c r="L824" i="9" s="1"/>
  <c r="O823" i="9"/>
  <c r="N823" i="9"/>
  <c r="L823" i="9" s="1"/>
  <c r="O822" i="9"/>
  <c r="N822" i="9"/>
  <c r="L822" i="9" s="1"/>
  <c r="O821" i="9"/>
  <c r="N821" i="9"/>
  <c r="L821" i="9"/>
  <c r="O820" i="9"/>
  <c r="N820" i="9"/>
  <c r="L820" i="9" s="1"/>
  <c r="O819" i="9"/>
  <c r="N819" i="9"/>
  <c r="L819" i="9" s="1"/>
  <c r="O818" i="9"/>
  <c r="N818" i="9"/>
  <c r="L818" i="9" s="1"/>
  <c r="O817" i="9"/>
  <c r="N817" i="9"/>
  <c r="L817" i="9"/>
  <c r="O816" i="9"/>
  <c r="N816" i="9"/>
  <c r="L816" i="9" s="1"/>
  <c r="L815" i="9" s="1"/>
  <c r="L718" i="9" s="1"/>
  <c r="O815" i="9"/>
  <c r="N815" i="9"/>
  <c r="O814" i="9"/>
  <c r="N814" i="9"/>
  <c r="L814" i="9" s="1"/>
  <c r="H814" i="9"/>
  <c r="I814" i="9" s="1"/>
  <c r="J814" i="9" s="1"/>
  <c r="G814" i="9"/>
  <c r="O813" i="9"/>
  <c r="N813" i="9"/>
  <c r="L813" i="9" s="1"/>
  <c r="G813" i="9" s="1"/>
  <c r="K813" i="9"/>
  <c r="I813" i="9"/>
  <c r="J813" i="9" s="1"/>
  <c r="O812" i="9"/>
  <c r="N812" i="9"/>
  <c r="L812" i="9"/>
  <c r="G812" i="9" s="1"/>
  <c r="K812" i="9"/>
  <c r="J812" i="9"/>
  <c r="I812" i="9"/>
  <c r="O811" i="9"/>
  <c r="L811" i="9" s="1"/>
  <c r="N811" i="9"/>
  <c r="O810" i="9"/>
  <c r="N810" i="9"/>
  <c r="L810" i="9"/>
  <c r="K810" i="9"/>
  <c r="J810" i="9"/>
  <c r="I810" i="9"/>
  <c r="G810" i="9"/>
  <c r="O809" i="9"/>
  <c r="N809" i="9"/>
  <c r="L809" i="9" s="1"/>
  <c r="G809" i="9" s="1"/>
  <c r="K809" i="9"/>
  <c r="I809" i="9"/>
  <c r="J809" i="9" s="1"/>
  <c r="O808" i="9"/>
  <c r="N808" i="9"/>
  <c r="L808" i="9" s="1"/>
  <c r="G808" i="9" s="1"/>
  <c r="K808" i="9"/>
  <c r="I808" i="9"/>
  <c r="J808" i="9" s="1"/>
  <c r="O807" i="9"/>
  <c r="L807" i="9" s="1"/>
  <c r="N807" i="9"/>
  <c r="O806" i="9"/>
  <c r="N806" i="9"/>
  <c r="L806" i="9" s="1"/>
  <c r="G806" i="9" s="1"/>
  <c r="K806" i="9"/>
  <c r="I806" i="9"/>
  <c r="J806" i="9" s="1"/>
  <c r="O805" i="9"/>
  <c r="N805" i="9"/>
  <c r="L805" i="9" s="1"/>
  <c r="G805" i="9" s="1"/>
  <c r="K805" i="9"/>
  <c r="I805" i="9"/>
  <c r="J805" i="9" s="1"/>
  <c r="O804" i="9"/>
  <c r="N804" i="9"/>
  <c r="L804" i="9"/>
  <c r="K804" i="9"/>
  <c r="J804" i="9"/>
  <c r="I804" i="9"/>
  <c r="G804" i="9"/>
  <c r="O803" i="9"/>
  <c r="N803" i="9"/>
  <c r="L803" i="9" s="1"/>
  <c r="G803" i="9" s="1"/>
  <c r="K803" i="9"/>
  <c r="I803" i="9"/>
  <c r="J803" i="9" s="1"/>
  <c r="O802" i="9"/>
  <c r="N802" i="9"/>
  <c r="L802" i="9" s="1"/>
  <c r="G802" i="9" s="1"/>
  <c r="K802" i="9"/>
  <c r="I802" i="9"/>
  <c r="J802" i="9" s="1"/>
  <c r="O801" i="9"/>
  <c r="N801" i="9"/>
  <c r="L801" i="9" s="1"/>
  <c r="G801" i="9" s="1"/>
  <c r="K801" i="9"/>
  <c r="I801" i="9"/>
  <c r="J801" i="9" s="1"/>
  <c r="O800" i="9"/>
  <c r="N800" i="9"/>
  <c r="L800" i="9"/>
  <c r="G800" i="9" s="1"/>
  <c r="K800" i="9"/>
  <c r="J800" i="9"/>
  <c r="I800" i="9"/>
  <c r="O799" i="9"/>
  <c r="L799" i="9" s="1"/>
  <c r="N799" i="9"/>
  <c r="O798" i="9"/>
  <c r="N798" i="9"/>
  <c r="L798" i="9"/>
  <c r="K798" i="9"/>
  <c r="J798" i="9"/>
  <c r="I798" i="9"/>
  <c r="G798" i="9"/>
  <c r="O797" i="9"/>
  <c r="N797" i="9"/>
  <c r="L797" i="9" s="1"/>
  <c r="G797" i="9" s="1"/>
  <c r="K797" i="9"/>
  <c r="I797" i="9"/>
  <c r="J797" i="9" s="1"/>
  <c r="O796" i="9"/>
  <c r="N796" i="9"/>
  <c r="L796" i="9" s="1"/>
  <c r="G796" i="9" s="1"/>
  <c r="K796" i="9"/>
  <c r="I796" i="9"/>
  <c r="J796" i="9" s="1"/>
  <c r="O795" i="9"/>
  <c r="N795" i="9"/>
  <c r="L795" i="9" s="1"/>
  <c r="G795" i="9" s="1"/>
  <c r="K795" i="9"/>
  <c r="I795" i="9"/>
  <c r="J795" i="9" s="1"/>
  <c r="O794" i="9"/>
  <c r="N794" i="9"/>
  <c r="L794" i="9"/>
  <c r="G794" i="9" s="1"/>
  <c r="K794" i="9"/>
  <c r="J794" i="9"/>
  <c r="I794" i="9"/>
  <c r="O793" i="9"/>
  <c r="N793" i="9"/>
  <c r="L793" i="9" s="1"/>
  <c r="G793" i="9" s="1"/>
  <c r="K793" i="9"/>
  <c r="I793" i="9"/>
  <c r="J793" i="9" s="1"/>
  <c r="O792" i="9"/>
  <c r="L792" i="9" s="1"/>
  <c r="N792" i="9"/>
  <c r="O791" i="9"/>
  <c r="N791" i="9"/>
  <c r="L791" i="9"/>
  <c r="O790" i="9"/>
  <c r="N790" i="9"/>
  <c r="L790" i="9" s="1"/>
  <c r="G790" i="9" s="1"/>
  <c r="K790" i="9"/>
  <c r="I790" i="9"/>
  <c r="J790" i="9" s="1"/>
  <c r="O789" i="9"/>
  <c r="N789" i="9"/>
  <c r="L789" i="9" s="1"/>
  <c r="G789" i="9" s="1"/>
  <c r="K789" i="9"/>
  <c r="I789" i="9"/>
  <c r="J789" i="9" s="1"/>
  <c r="O788" i="9"/>
  <c r="N788" i="9"/>
  <c r="L788" i="9" s="1"/>
  <c r="G788" i="9" s="1"/>
  <c r="K788" i="9"/>
  <c r="I788" i="9"/>
  <c r="J788" i="9" s="1"/>
  <c r="O787" i="9"/>
  <c r="N787" i="9"/>
  <c r="L787" i="9"/>
  <c r="G787" i="9" s="1"/>
  <c r="K787" i="9"/>
  <c r="I787" i="9"/>
  <c r="J787" i="9" s="1"/>
  <c r="O786" i="9"/>
  <c r="N786" i="9"/>
  <c r="L786" i="9" s="1"/>
  <c r="G786" i="9" s="1"/>
  <c r="K786" i="9"/>
  <c r="I786" i="9"/>
  <c r="J786" i="9" s="1"/>
  <c r="O785" i="9"/>
  <c r="N785" i="9"/>
  <c r="L785" i="9" s="1"/>
  <c r="G785" i="9" s="1"/>
  <c r="K785" i="9"/>
  <c r="I785" i="9"/>
  <c r="J785" i="9" s="1"/>
  <c r="O784" i="9"/>
  <c r="N784" i="9"/>
  <c r="L784" i="9" s="1"/>
  <c r="G784" i="9" s="1"/>
  <c r="K784" i="9"/>
  <c r="I784" i="9"/>
  <c r="J784" i="9" s="1"/>
  <c r="O783" i="9"/>
  <c r="N783" i="9"/>
  <c r="L783" i="9"/>
  <c r="O782" i="9"/>
  <c r="N782" i="9"/>
  <c r="L782" i="9" s="1"/>
  <c r="G782" i="9" s="1"/>
  <c r="K782" i="9"/>
  <c r="I782" i="9"/>
  <c r="J782" i="9" s="1"/>
  <c r="O781" i="9"/>
  <c r="N781" i="9"/>
  <c r="L781" i="9" s="1"/>
  <c r="G781" i="9" s="1"/>
  <c r="K781" i="9"/>
  <c r="I781" i="9"/>
  <c r="J781" i="9" s="1"/>
  <c r="O780" i="9"/>
  <c r="N780" i="9"/>
  <c r="L780" i="9" s="1"/>
  <c r="G780" i="9" s="1"/>
  <c r="K780" i="9"/>
  <c r="I780" i="9"/>
  <c r="J780" i="9" s="1"/>
  <c r="O779" i="9"/>
  <c r="N779" i="9"/>
  <c r="L779" i="9" s="1"/>
  <c r="K779" i="9"/>
  <c r="I779" i="9"/>
  <c r="J779" i="9" s="1"/>
  <c r="G779" i="9"/>
  <c r="O778" i="9"/>
  <c r="N778" i="9"/>
  <c r="L778" i="9" s="1"/>
  <c r="G778" i="9" s="1"/>
  <c r="K778" i="9"/>
  <c r="I778" i="9"/>
  <c r="J778" i="9" s="1"/>
  <c r="O777" i="9"/>
  <c r="N777" i="9"/>
  <c r="L777" i="9" s="1"/>
  <c r="G777" i="9" s="1"/>
  <c r="K777" i="9"/>
  <c r="I777" i="9"/>
  <c r="J777" i="9" s="1"/>
  <c r="O776" i="9"/>
  <c r="N776" i="9"/>
  <c r="L776" i="9" s="1"/>
  <c r="G776" i="9" s="1"/>
  <c r="K776" i="9"/>
  <c r="I776" i="9"/>
  <c r="J776" i="9" s="1"/>
  <c r="O775" i="9"/>
  <c r="N775" i="9"/>
  <c r="L775" i="9"/>
  <c r="G775" i="9" s="1"/>
  <c r="K775" i="9"/>
  <c r="I775" i="9"/>
  <c r="J775" i="9" s="1"/>
  <c r="O774" i="9"/>
  <c r="N774" i="9"/>
  <c r="L774" i="9" s="1"/>
  <c r="G774" i="9" s="1"/>
  <c r="K774" i="9"/>
  <c r="I774" i="9"/>
  <c r="J774" i="9" s="1"/>
  <c r="O773" i="9"/>
  <c r="N773" i="9"/>
  <c r="L773" i="9" s="1"/>
  <c r="G773" i="9" s="1"/>
  <c r="K773" i="9"/>
  <c r="I773" i="9"/>
  <c r="J773" i="9" s="1"/>
  <c r="O772" i="9"/>
  <c r="L772" i="9" s="1"/>
  <c r="N772" i="9"/>
  <c r="O771" i="9"/>
  <c r="N771" i="9"/>
  <c r="L771" i="9" s="1"/>
  <c r="G771" i="9" s="1"/>
  <c r="K771" i="9"/>
  <c r="I771" i="9"/>
  <c r="J771" i="9" s="1"/>
  <c r="O770" i="9"/>
  <c r="N770" i="9"/>
  <c r="L770" i="9"/>
  <c r="K770" i="9"/>
  <c r="J770" i="9"/>
  <c r="I770" i="9"/>
  <c r="G770" i="9"/>
  <c r="O769" i="9"/>
  <c r="N769" i="9"/>
  <c r="L769" i="9" s="1"/>
  <c r="G769" i="9" s="1"/>
  <c r="K769" i="9"/>
  <c r="I769" i="9"/>
  <c r="J769" i="9" s="1"/>
  <c r="O768" i="9"/>
  <c r="N768" i="9"/>
  <c r="L768" i="9" s="1"/>
  <c r="G768" i="9" s="1"/>
  <c r="K768" i="9"/>
  <c r="I768" i="9"/>
  <c r="J768" i="9" s="1"/>
  <c r="O767" i="9"/>
  <c r="N767" i="9"/>
  <c r="L767" i="9" s="1"/>
  <c r="G767" i="9" s="1"/>
  <c r="K767" i="9"/>
  <c r="I767" i="9"/>
  <c r="J767" i="9" s="1"/>
  <c r="O766" i="9"/>
  <c r="N766" i="9"/>
  <c r="L766" i="9" s="1"/>
  <c r="G766" i="9" s="1"/>
  <c r="K766" i="9"/>
  <c r="I766" i="9"/>
  <c r="J766" i="9" s="1"/>
  <c r="O765" i="9"/>
  <c r="N765" i="9"/>
  <c r="L765" i="9"/>
  <c r="K765" i="9"/>
  <c r="J765" i="9"/>
  <c r="I765" i="9"/>
  <c r="G765" i="9"/>
  <c r="O764" i="9"/>
  <c r="N764" i="9"/>
  <c r="L764" i="9" s="1"/>
  <c r="G764" i="9" s="1"/>
  <c r="K764" i="9"/>
  <c r="I764" i="9"/>
  <c r="J764" i="9" s="1"/>
  <c r="O763" i="9"/>
  <c r="N763" i="9"/>
  <c r="L763" i="9" s="1"/>
  <c r="G763" i="9" s="1"/>
  <c r="K763" i="9"/>
  <c r="I763" i="9"/>
  <c r="J763" i="9" s="1"/>
  <c r="O762" i="9"/>
  <c r="N762" i="9"/>
  <c r="L762" i="9" s="1"/>
  <c r="G762" i="9" s="1"/>
  <c r="K762" i="9"/>
  <c r="I762" i="9"/>
  <c r="J762" i="9" s="1"/>
  <c r="O761" i="9"/>
  <c r="N761" i="9"/>
  <c r="L761" i="9"/>
  <c r="K761" i="9"/>
  <c r="J761" i="9"/>
  <c r="I761" i="9"/>
  <c r="G761" i="9"/>
  <c r="O760" i="9"/>
  <c r="N760" i="9"/>
  <c r="L760" i="9" s="1"/>
  <c r="G760" i="9" s="1"/>
  <c r="K760" i="9"/>
  <c r="I760" i="9"/>
  <c r="J760" i="9" s="1"/>
  <c r="O759" i="9"/>
  <c r="L759" i="9" s="1"/>
  <c r="N759" i="9"/>
  <c r="O758" i="9"/>
  <c r="N758" i="9"/>
  <c r="L758" i="9" s="1"/>
  <c r="G758" i="9" s="1"/>
  <c r="K758" i="9"/>
  <c r="I758" i="9"/>
  <c r="J758" i="9" s="1"/>
  <c r="O757" i="9"/>
  <c r="N757" i="9"/>
  <c r="L757" i="9" s="1"/>
  <c r="G757" i="9" s="1"/>
  <c r="K757" i="9"/>
  <c r="I757" i="9"/>
  <c r="J757" i="9" s="1"/>
  <c r="O756" i="9"/>
  <c r="N756" i="9"/>
  <c r="L756" i="9" s="1"/>
  <c r="G756" i="9" s="1"/>
  <c r="K756" i="9"/>
  <c r="I756" i="9"/>
  <c r="J756" i="9" s="1"/>
  <c r="O755" i="9"/>
  <c r="N755" i="9"/>
  <c r="L755" i="9"/>
  <c r="K755" i="9"/>
  <c r="J755" i="9"/>
  <c r="I755" i="9"/>
  <c r="G755" i="9"/>
  <c r="O754" i="9"/>
  <c r="N754" i="9"/>
  <c r="L754" i="9" s="1"/>
  <c r="G754" i="9" s="1"/>
  <c r="K754" i="9"/>
  <c r="I754" i="9"/>
  <c r="J754" i="9" s="1"/>
  <c r="O753" i="9"/>
  <c r="N753" i="9"/>
  <c r="L753" i="9" s="1"/>
  <c r="G753" i="9" s="1"/>
  <c r="K753" i="9"/>
  <c r="I753" i="9"/>
  <c r="J753" i="9" s="1"/>
  <c r="O752" i="9"/>
  <c r="N752" i="9"/>
  <c r="L752" i="9" s="1"/>
  <c r="G752" i="9" s="1"/>
  <c r="K752" i="9"/>
  <c r="I752" i="9"/>
  <c r="J752" i="9" s="1"/>
  <c r="O751" i="9"/>
  <c r="N751" i="9"/>
  <c r="L751" i="9"/>
  <c r="G751" i="9" s="1"/>
  <c r="K751" i="9"/>
  <c r="J751" i="9"/>
  <c r="I751" i="9"/>
  <c r="O750" i="9"/>
  <c r="N750" i="9"/>
  <c r="L750" i="9" s="1"/>
  <c r="G750" i="9" s="1"/>
  <c r="K750" i="9"/>
  <c r="I750" i="9"/>
  <c r="J750" i="9" s="1"/>
  <c r="O749" i="9"/>
  <c r="N749" i="9"/>
  <c r="L749" i="9" s="1"/>
  <c r="G749" i="9" s="1"/>
  <c r="K749" i="9"/>
  <c r="I749" i="9"/>
  <c r="J749" i="9" s="1"/>
  <c r="O748" i="9"/>
  <c r="N748" i="9"/>
  <c r="L748" i="9" s="1"/>
  <c r="G748" i="9" s="1"/>
  <c r="K748" i="9"/>
  <c r="I748" i="9"/>
  <c r="J748" i="9" s="1"/>
  <c r="O747" i="9"/>
  <c r="N747" i="9"/>
  <c r="L747" i="9"/>
  <c r="K747" i="9"/>
  <c r="J747" i="9"/>
  <c r="I747" i="9"/>
  <c r="G747" i="9"/>
  <c r="O746" i="9"/>
  <c r="N746" i="9"/>
  <c r="L746" i="9" s="1"/>
  <c r="G746" i="9" s="1"/>
  <c r="K746" i="9"/>
  <c r="I746" i="9"/>
  <c r="J746" i="9" s="1"/>
  <c r="O745" i="9"/>
  <c r="N745" i="9"/>
  <c r="L745" i="9" s="1"/>
  <c r="G745" i="9" s="1"/>
  <c r="K745" i="9"/>
  <c r="I745" i="9"/>
  <c r="J745" i="9" s="1"/>
  <c r="O744" i="9"/>
  <c r="N744" i="9"/>
  <c r="L744" i="9" s="1"/>
  <c r="G744" i="9" s="1"/>
  <c r="K744" i="9"/>
  <c r="I744" i="9"/>
  <c r="J744" i="9" s="1"/>
  <c r="O743" i="9"/>
  <c r="N743" i="9"/>
  <c r="L743" i="9"/>
  <c r="K743" i="9"/>
  <c r="J743" i="9"/>
  <c r="I743" i="9"/>
  <c r="G743" i="9"/>
  <c r="O742" i="9"/>
  <c r="N742" i="9"/>
  <c r="L742" i="9" s="1"/>
  <c r="G742" i="9" s="1"/>
  <c r="K742" i="9"/>
  <c r="I742" i="9"/>
  <c r="J742" i="9" s="1"/>
  <c r="O741" i="9"/>
  <c r="L741" i="9" s="1"/>
  <c r="N741" i="9"/>
  <c r="O740" i="9"/>
  <c r="N740" i="9"/>
  <c r="L740" i="9"/>
  <c r="O739" i="9"/>
  <c r="N739" i="9"/>
  <c r="L739" i="9" s="1"/>
  <c r="G739" i="9" s="1"/>
  <c r="K739" i="9"/>
  <c r="I739" i="9"/>
  <c r="J739" i="9" s="1"/>
  <c r="O738" i="9"/>
  <c r="N738" i="9"/>
  <c r="L738" i="9" s="1"/>
  <c r="G738" i="9" s="1"/>
  <c r="K738" i="9"/>
  <c r="I738" i="9"/>
  <c r="J738" i="9" s="1"/>
  <c r="O737" i="9"/>
  <c r="N737" i="9"/>
  <c r="L737" i="9"/>
  <c r="G737" i="9" s="1"/>
  <c r="K737" i="9"/>
  <c r="J737" i="9"/>
  <c r="I737" i="9"/>
  <c r="O736" i="9"/>
  <c r="N736" i="9"/>
  <c r="L736" i="9" s="1"/>
  <c r="G736" i="9" s="1"/>
  <c r="K736" i="9"/>
  <c r="I736" i="9"/>
  <c r="J736" i="9" s="1"/>
  <c r="O735" i="9"/>
  <c r="N735" i="9"/>
  <c r="L735" i="9" s="1"/>
  <c r="G735" i="9" s="1"/>
  <c r="K735" i="9"/>
  <c r="I735" i="9"/>
  <c r="J735" i="9" s="1"/>
  <c r="O734" i="9"/>
  <c r="N734" i="9"/>
  <c r="L734" i="9" s="1"/>
  <c r="G734" i="9" s="1"/>
  <c r="K734" i="9"/>
  <c r="I734" i="9"/>
  <c r="J734" i="9" s="1"/>
  <c r="O733" i="9"/>
  <c r="N733" i="9"/>
  <c r="L733" i="9"/>
  <c r="K733" i="9"/>
  <c r="J733" i="9"/>
  <c r="I733" i="9"/>
  <c r="G733" i="9"/>
  <c r="O732" i="9"/>
  <c r="N732" i="9"/>
  <c r="L732" i="9" s="1"/>
  <c r="G732" i="9" s="1"/>
  <c r="K732" i="9"/>
  <c r="I732" i="9"/>
  <c r="J732" i="9" s="1"/>
  <c r="O731" i="9"/>
  <c r="N731" i="9"/>
  <c r="L731" i="9" s="1"/>
  <c r="G731" i="9" s="1"/>
  <c r="K731" i="9"/>
  <c r="I731" i="9"/>
  <c r="J731" i="9" s="1"/>
  <c r="O730" i="9"/>
  <c r="N730" i="9"/>
  <c r="L730" i="9" s="1"/>
  <c r="G730" i="9" s="1"/>
  <c r="K730" i="9"/>
  <c r="I730" i="9"/>
  <c r="J730" i="9" s="1"/>
  <c r="O729" i="9"/>
  <c r="N729" i="9"/>
  <c r="L729" i="9"/>
  <c r="G729" i="9" s="1"/>
  <c r="K729" i="9"/>
  <c r="J729" i="9"/>
  <c r="I729" i="9"/>
  <c r="O728" i="9"/>
  <c r="N728" i="9"/>
  <c r="L728" i="9" s="1"/>
  <c r="G728" i="9" s="1"/>
  <c r="K728" i="9"/>
  <c r="I728" i="9"/>
  <c r="J728" i="9" s="1"/>
  <c r="O727" i="9"/>
  <c r="N727" i="9"/>
  <c r="L727" i="9" s="1"/>
  <c r="G727" i="9" s="1"/>
  <c r="K727" i="9"/>
  <c r="I727" i="9"/>
  <c r="J727" i="9" s="1"/>
  <c r="O726" i="9"/>
  <c r="N726" i="9"/>
  <c r="L726" i="9" s="1"/>
  <c r="G726" i="9" s="1"/>
  <c r="K726" i="9"/>
  <c r="I726" i="9"/>
  <c r="J726" i="9" s="1"/>
  <c r="O725" i="9"/>
  <c r="N725" i="9"/>
  <c r="L725" i="9"/>
  <c r="K725" i="9"/>
  <c r="J725" i="9"/>
  <c r="I725" i="9"/>
  <c r="G725" i="9"/>
  <c r="O724" i="9"/>
  <c r="N724" i="9"/>
  <c r="L724" i="9" s="1"/>
  <c r="G724" i="9" s="1"/>
  <c r="K724" i="9"/>
  <c r="I724" i="9"/>
  <c r="J724" i="9" s="1"/>
  <c r="O723" i="9"/>
  <c r="N723" i="9"/>
  <c r="L723" i="9" s="1"/>
  <c r="K723" i="9"/>
  <c r="I723" i="9"/>
  <c r="F723" i="9"/>
  <c r="O722" i="9"/>
  <c r="N722" i="9"/>
  <c r="L722" i="9" s="1"/>
  <c r="G722" i="9" s="1"/>
  <c r="K722" i="9"/>
  <c r="I722" i="9"/>
  <c r="J722" i="9" s="1"/>
  <c r="O721" i="9"/>
  <c r="N721" i="9"/>
  <c r="L721" i="9" s="1"/>
  <c r="G721" i="9" s="1"/>
  <c r="K721" i="9"/>
  <c r="I721" i="9"/>
  <c r="J721" i="9" s="1"/>
  <c r="O720" i="9"/>
  <c r="N720" i="9"/>
  <c r="L720" i="9"/>
  <c r="K720" i="9"/>
  <c r="J720" i="9"/>
  <c r="I720" i="9"/>
  <c r="G720" i="9"/>
  <c r="O719" i="9"/>
  <c r="L719" i="9" s="1"/>
  <c r="N719" i="9"/>
  <c r="O718" i="9"/>
  <c r="N718" i="9"/>
  <c r="O717" i="9"/>
  <c r="N717" i="9"/>
  <c r="L717" i="9" s="1"/>
  <c r="H717" i="9"/>
  <c r="O716" i="9"/>
  <c r="N716" i="9"/>
  <c r="L716" i="9" s="1"/>
  <c r="H716" i="9"/>
  <c r="O715" i="9"/>
  <c r="N715" i="9"/>
  <c r="L715" i="9" s="1"/>
  <c r="H715" i="9"/>
  <c r="O714" i="9"/>
  <c r="N714" i="9"/>
  <c r="L714" i="9" s="1"/>
  <c r="H714" i="9"/>
  <c r="O713" i="9"/>
  <c r="N713" i="9"/>
  <c r="L713" i="9" s="1"/>
  <c r="L712" i="9" s="1"/>
  <c r="H713" i="9"/>
  <c r="O712" i="9"/>
  <c r="N712" i="9"/>
  <c r="H712" i="9"/>
  <c r="O711" i="9"/>
  <c r="N711" i="9"/>
  <c r="L711" i="9" s="1"/>
  <c r="H711" i="9"/>
  <c r="O710" i="9"/>
  <c r="N710" i="9"/>
  <c r="L710" i="9" s="1"/>
  <c r="L709" i="9" s="1"/>
  <c r="H710" i="9"/>
  <c r="H709" i="9" s="1"/>
  <c r="O709" i="9"/>
  <c r="N709" i="9"/>
  <c r="O708" i="9"/>
  <c r="N708" i="9"/>
  <c r="L708" i="9" s="1"/>
  <c r="L707" i="9" s="1"/>
  <c r="L704" i="9" s="1"/>
  <c r="H708" i="9"/>
  <c r="H707" i="9" s="1"/>
  <c r="O707" i="9"/>
  <c r="N707" i="9"/>
  <c r="O706" i="9"/>
  <c r="N706" i="9"/>
  <c r="L706" i="9"/>
  <c r="L705" i="9" s="1"/>
  <c r="O705" i="9"/>
  <c r="N705" i="9"/>
  <c r="H705" i="9"/>
  <c r="O704" i="9"/>
  <c r="N704" i="9"/>
  <c r="O703" i="9"/>
  <c r="N703" i="9"/>
  <c r="L703" i="9" s="1"/>
  <c r="H703" i="9"/>
  <c r="F703" i="9"/>
  <c r="O702" i="9"/>
  <c r="N702" i="9"/>
  <c r="L702" i="9"/>
  <c r="H702" i="9"/>
  <c r="F702" i="9"/>
  <c r="O701" i="9"/>
  <c r="N701" i="9"/>
  <c r="L701" i="9" s="1"/>
  <c r="H701" i="9"/>
  <c r="O700" i="9"/>
  <c r="N700" i="9"/>
  <c r="L700" i="9" s="1"/>
  <c r="H700" i="9"/>
  <c r="O699" i="9"/>
  <c r="N699" i="9"/>
  <c r="L699" i="9" s="1"/>
  <c r="H699" i="9"/>
  <c r="O698" i="9"/>
  <c r="N698" i="9"/>
  <c r="L698" i="9" s="1"/>
  <c r="O697" i="9"/>
  <c r="N697" i="9"/>
  <c r="L697" i="9"/>
  <c r="O696" i="9"/>
  <c r="N696" i="9"/>
  <c r="L696" i="9" s="1"/>
  <c r="H696" i="9"/>
  <c r="O695" i="9"/>
  <c r="N695" i="9"/>
  <c r="L695" i="9" s="1"/>
  <c r="H695" i="9"/>
  <c r="F695" i="9"/>
  <c r="O694" i="9"/>
  <c r="N694" i="9"/>
  <c r="L694" i="9"/>
  <c r="H694" i="9"/>
  <c r="F694" i="9"/>
  <c r="O693" i="9"/>
  <c r="N693" i="9"/>
  <c r="L693" i="9" s="1"/>
  <c r="H693" i="9"/>
  <c r="F693" i="9"/>
  <c r="O692" i="9"/>
  <c r="N692" i="9"/>
  <c r="L692" i="9" s="1"/>
  <c r="H692" i="9"/>
  <c r="F692" i="9"/>
  <c r="O691" i="9"/>
  <c r="N691" i="9"/>
  <c r="L691" i="9" s="1"/>
  <c r="O690" i="9"/>
  <c r="N690" i="9"/>
  <c r="L690" i="9"/>
  <c r="O689" i="9"/>
  <c r="N689" i="9"/>
  <c r="L689" i="9" s="1"/>
  <c r="O688" i="9"/>
  <c r="N688" i="9"/>
  <c r="L688" i="9" s="1"/>
  <c r="O687" i="9"/>
  <c r="N687" i="9"/>
  <c r="L687" i="9" s="1"/>
  <c r="O686" i="9"/>
  <c r="N686" i="9"/>
  <c r="L686" i="9"/>
  <c r="O685" i="9"/>
  <c r="N685" i="9"/>
  <c r="L685" i="9" s="1"/>
  <c r="O684" i="9"/>
  <c r="N684" i="9"/>
  <c r="L684" i="9"/>
  <c r="O683" i="9"/>
  <c r="N683" i="9"/>
  <c r="L683" i="9" s="1"/>
  <c r="O682" i="9"/>
  <c r="N682" i="9"/>
  <c r="L682" i="9" s="1"/>
  <c r="O681" i="9"/>
  <c r="N681" i="9"/>
  <c r="L681" i="9" s="1"/>
  <c r="O680" i="9"/>
  <c r="N680" i="9"/>
  <c r="L680" i="9" s="1"/>
  <c r="O679" i="9"/>
  <c r="N679" i="9"/>
  <c r="L679" i="9" s="1"/>
  <c r="O678" i="9"/>
  <c r="N678" i="9"/>
  <c r="L678" i="9"/>
  <c r="O677" i="9"/>
  <c r="N677" i="9"/>
  <c r="L677" i="9" s="1"/>
  <c r="O676" i="9"/>
  <c r="N676" i="9"/>
  <c r="L676" i="9"/>
  <c r="H676" i="9"/>
  <c r="F676" i="9"/>
  <c r="O675" i="9"/>
  <c r="N675" i="9"/>
  <c r="L675" i="9" s="1"/>
  <c r="H675" i="9"/>
  <c r="F675" i="9"/>
  <c r="O674" i="9"/>
  <c r="N674" i="9"/>
  <c r="L674" i="9"/>
  <c r="H674" i="9"/>
  <c r="F674" i="9"/>
  <c r="O673" i="9"/>
  <c r="N673" i="9"/>
  <c r="L673" i="9" s="1"/>
  <c r="H673" i="9"/>
  <c r="O672" i="9"/>
  <c r="N672" i="9"/>
  <c r="L672" i="9" s="1"/>
  <c r="H672" i="9"/>
  <c r="H659" i="9" s="1"/>
  <c r="H642" i="9" s="1"/>
  <c r="F672" i="9"/>
  <c r="O671" i="9"/>
  <c r="N671" i="9"/>
  <c r="L671" i="9"/>
  <c r="H671" i="9"/>
  <c r="F671" i="9"/>
  <c r="O670" i="9"/>
  <c r="N670" i="9"/>
  <c r="L670" i="9" s="1"/>
  <c r="O669" i="9"/>
  <c r="N669" i="9"/>
  <c r="L669" i="9"/>
  <c r="O668" i="9"/>
  <c r="N668" i="9"/>
  <c r="L668" i="9" s="1"/>
  <c r="O667" i="9"/>
  <c r="N667" i="9"/>
  <c r="L667" i="9"/>
  <c r="O666" i="9"/>
  <c r="N666" i="9"/>
  <c r="L666" i="9" s="1"/>
  <c r="O665" i="9"/>
  <c r="N665" i="9"/>
  <c r="L665" i="9" s="1"/>
  <c r="O664" i="9"/>
  <c r="N664" i="9"/>
  <c r="L664" i="9" s="1"/>
  <c r="O663" i="9"/>
  <c r="N663" i="9"/>
  <c r="L663" i="9"/>
  <c r="O662" i="9"/>
  <c r="N662" i="9"/>
  <c r="L662" i="9" s="1"/>
  <c r="O661" i="9"/>
  <c r="N661" i="9"/>
  <c r="L661" i="9"/>
  <c r="O660" i="9"/>
  <c r="N660" i="9"/>
  <c r="L660" i="9" s="1"/>
  <c r="O659" i="9"/>
  <c r="N659" i="9"/>
  <c r="L659" i="9"/>
  <c r="O658" i="9"/>
  <c r="N658" i="9"/>
  <c r="L658" i="9" s="1"/>
  <c r="H658" i="9"/>
  <c r="I658" i="9" s="1"/>
  <c r="J658" i="9" s="1"/>
  <c r="G658" i="9"/>
  <c r="O657" i="9"/>
  <c r="N657" i="9"/>
  <c r="L657" i="9" s="1"/>
  <c r="K657" i="9"/>
  <c r="I657" i="9"/>
  <c r="J657" i="9" s="1"/>
  <c r="H657" i="9"/>
  <c r="G657" i="9"/>
  <c r="O656" i="9"/>
  <c r="N656" i="9"/>
  <c r="L656" i="9" s="1"/>
  <c r="G656" i="9" s="1"/>
  <c r="H656" i="9"/>
  <c r="I656" i="9" s="1"/>
  <c r="J656" i="9" s="1"/>
  <c r="O655" i="9"/>
  <c r="N655" i="9"/>
  <c r="L655" i="9" s="1"/>
  <c r="H655" i="9"/>
  <c r="K655" i="9" s="1"/>
  <c r="G655" i="9"/>
  <c r="O654" i="9"/>
  <c r="N654" i="9"/>
  <c r="L654" i="9" s="1"/>
  <c r="G654" i="9" s="1"/>
  <c r="K654" i="9"/>
  <c r="H654" i="9"/>
  <c r="I654" i="9" s="1"/>
  <c r="J654" i="9" s="1"/>
  <c r="O653" i="9"/>
  <c r="N653" i="9"/>
  <c r="L653" i="9" s="1"/>
  <c r="H653" i="9"/>
  <c r="I653" i="9" s="1"/>
  <c r="J653" i="9" s="1"/>
  <c r="G653" i="9"/>
  <c r="O652" i="9"/>
  <c r="N652" i="9"/>
  <c r="L652" i="9" s="1"/>
  <c r="G652" i="9" s="1"/>
  <c r="H652" i="9"/>
  <c r="I652" i="9" s="1"/>
  <c r="J652" i="9" s="1"/>
  <c r="O651" i="9"/>
  <c r="N651" i="9"/>
  <c r="L651" i="9" s="1"/>
  <c r="G651" i="9" s="1"/>
  <c r="K651" i="9"/>
  <c r="H651" i="9"/>
  <c r="I651" i="9" s="1"/>
  <c r="J651" i="9" s="1"/>
  <c r="O650" i="9"/>
  <c r="N650" i="9"/>
  <c r="L650" i="9" s="1"/>
  <c r="H650" i="9"/>
  <c r="K650" i="9" s="1"/>
  <c r="G650" i="9"/>
  <c r="O649" i="9"/>
  <c r="N649" i="9"/>
  <c r="L649" i="9" s="1"/>
  <c r="G649" i="9" s="1"/>
  <c r="K649" i="9"/>
  <c r="H649" i="9"/>
  <c r="I649" i="9" s="1"/>
  <c r="J649" i="9" s="1"/>
  <c r="O648" i="9"/>
  <c r="N648" i="9"/>
  <c r="L648" i="9" s="1"/>
  <c r="H648" i="9"/>
  <c r="K648" i="9" s="1"/>
  <c r="G648" i="9"/>
  <c r="O647" i="9"/>
  <c r="N647" i="9"/>
  <c r="L647" i="9" s="1"/>
  <c r="G647" i="9" s="1"/>
  <c r="K647" i="9"/>
  <c r="H647" i="9"/>
  <c r="I647" i="9" s="1"/>
  <c r="J647" i="9" s="1"/>
  <c r="O646" i="9"/>
  <c r="N646" i="9"/>
  <c r="L646" i="9" s="1"/>
  <c r="H646" i="9"/>
  <c r="K646" i="9" s="1"/>
  <c r="G646" i="9"/>
  <c r="O645" i="9"/>
  <c r="L645" i="9" s="1"/>
  <c r="N645" i="9"/>
  <c r="O644" i="9"/>
  <c r="N644" i="9"/>
  <c r="L644" i="9"/>
  <c r="L643" i="9" s="1"/>
  <c r="O643" i="9"/>
  <c r="N643" i="9"/>
  <c r="H643" i="9"/>
  <c r="O642" i="9"/>
  <c r="N642" i="9"/>
  <c r="L642" i="9"/>
  <c r="O641" i="9"/>
  <c r="N641" i="9"/>
  <c r="L641" i="9" s="1"/>
  <c r="H641" i="9"/>
  <c r="O640" i="9"/>
  <c r="N640" i="9"/>
  <c r="L640" i="9" s="1"/>
  <c r="O639" i="9"/>
  <c r="N639" i="9"/>
  <c r="L639" i="9" s="1"/>
  <c r="O638" i="9"/>
  <c r="N638" i="9"/>
  <c r="L638" i="9" s="1"/>
  <c r="O637" i="9"/>
  <c r="N637" i="9"/>
  <c r="L637" i="9"/>
  <c r="O636" i="9"/>
  <c r="N636" i="9"/>
  <c r="L636" i="9" s="1"/>
  <c r="O635" i="9"/>
  <c r="N635" i="9"/>
  <c r="L635" i="9"/>
  <c r="O634" i="9"/>
  <c r="N634" i="9"/>
  <c r="L634" i="9" s="1"/>
  <c r="O633" i="9"/>
  <c r="N633" i="9"/>
  <c r="L633" i="9"/>
  <c r="H633" i="9"/>
  <c r="O632" i="9"/>
  <c r="N632" i="9"/>
  <c r="L632" i="9"/>
  <c r="H632" i="9"/>
  <c r="F632" i="9"/>
  <c r="O631" i="9"/>
  <c r="N631" i="9"/>
  <c r="L631" i="9" s="1"/>
  <c r="H631" i="9"/>
  <c r="F631" i="9"/>
  <c r="O630" i="9"/>
  <c r="N630" i="9"/>
  <c r="L630" i="9" s="1"/>
  <c r="H630" i="9"/>
  <c r="F630" i="9"/>
  <c r="O629" i="9"/>
  <c r="N629" i="9"/>
  <c r="L629" i="9" s="1"/>
  <c r="O628" i="9"/>
  <c r="N628" i="9"/>
  <c r="L628" i="9"/>
  <c r="O627" i="9"/>
  <c r="N627" i="9"/>
  <c r="L627" i="9" s="1"/>
  <c r="H627" i="9"/>
  <c r="O626" i="9"/>
  <c r="N626" i="9"/>
  <c r="L626" i="9" s="1"/>
  <c r="H626" i="9"/>
  <c r="O625" i="9"/>
  <c r="N625" i="9"/>
  <c r="L625" i="9" s="1"/>
  <c r="H625" i="9"/>
  <c r="O624" i="9"/>
  <c r="N624" i="9"/>
  <c r="L624" i="9" s="1"/>
  <c r="H624" i="9"/>
  <c r="O623" i="9"/>
  <c r="N623" i="9"/>
  <c r="L623" i="9" s="1"/>
  <c r="H623" i="9"/>
  <c r="H621" i="9" s="1"/>
  <c r="H618" i="9" s="1"/>
  <c r="O622" i="9"/>
  <c r="N622" i="9"/>
  <c r="L622" i="9" s="1"/>
  <c r="O621" i="9"/>
  <c r="N621" i="9"/>
  <c r="L621" i="9"/>
  <c r="L618" i="9" s="1"/>
  <c r="O620" i="9"/>
  <c r="N620" i="9"/>
  <c r="L620" i="9" s="1"/>
  <c r="G620" i="9" s="1"/>
  <c r="K620" i="9"/>
  <c r="I620" i="9"/>
  <c r="J620" i="9" s="1"/>
  <c r="O619" i="9"/>
  <c r="L619" i="9" s="1"/>
  <c r="N619" i="9"/>
  <c r="O618" i="9"/>
  <c r="N618" i="9"/>
  <c r="O617" i="9"/>
  <c r="N617" i="9"/>
  <c r="L617" i="9"/>
  <c r="H617" i="9"/>
  <c r="O616" i="9"/>
  <c r="N616" i="9"/>
  <c r="L616" i="9"/>
  <c r="H616" i="9"/>
  <c r="O615" i="9"/>
  <c r="N615" i="9"/>
  <c r="L615" i="9"/>
  <c r="H615" i="9"/>
  <c r="O614" i="9"/>
  <c r="N614" i="9"/>
  <c r="L614" i="9" s="1"/>
  <c r="O613" i="9"/>
  <c r="N613" i="9"/>
  <c r="L613" i="9"/>
  <c r="O612" i="9"/>
  <c r="L612" i="9" s="1"/>
  <c r="N612" i="9"/>
  <c r="O611" i="9"/>
  <c r="N611" i="9"/>
  <c r="L611" i="9"/>
  <c r="O610" i="9"/>
  <c r="N610" i="9"/>
  <c r="L610" i="9" s="1"/>
  <c r="H610" i="9"/>
  <c r="H606" i="9" s="1"/>
  <c r="O609" i="9"/>
  <c r="L609" i="9" s="1"/>
  <c r="N609" i="9"/>
  <c r="O608" i="9"/>
  <c r="N608" i="9"/>
  <c r="L608" i="9"/>
  <c r="O607" i="9"/>
  <c r="L607" i="9" s="1"/>
  <c r="N607" i="9"/>
  <c r="O606" i="9"/>
  <c r="N606" i="9"/>
  <c r="L606" i="9"/>
  <c r="O605" i="9"/>
  <c r="N605" i="9"/>
  <c r="L605" i="9" s="1"/>
  <c r="O603" i="9"/>
  <c r="N603" i="9"/>
  <c r="L603" i="9"/>
  <c r="O602" i="9"/>
  <c r="N602" i="9"/>
  <c r="L602" i="9" s="1"/>
  <c r="O601" i="9"/>
  <c r="N601" i="9"/>
  <c r="L601" i="9"/>
  <c r="O600" i="9"/>
  <c r="N600" i="9"/>
  <c r="L600" i="9" s="1"/>
  <c r="O599" i="9"/>
  <c r="N599" i="9"/>
  <c r="L599" i="9" s="1"/>
  <c r="O598" i="9"/>
  <c r="N598" i="9"/>
  <c r="O597" i="9"/>
  <c r="N597" i="9"/>
  <c r="L597" i="9" s="1"/>
  <c r="H597" i="9"/>
  <c r="F597" i="9"/>
  <c r="O596" i="9"/>
  <c r="N596" i="9"/>
  <c r="L596" i="9"/>
  <c r="H596" i="9"/>
  <c r="F596" i="9"/>
  <c r="O595" i="9"/>
  <c r="N595" i="9"/>
  <c r="L595" i="9" s="1"/>
  <c r="L594" i="9" s="1"/>
  <c r="H595" i="9"/>
  <c r="F595" i="9"/>
  <c r="O594" i="9"/>
  <c r="N594" i="9"/>
  <c r="H594" i="9"/>
  <c r="O593" i="9"/>
  <c r="N593" i="9"/>
  <c r="L593" i="9" s="1"/>
  <c r="L592" i="9" s="1"/>
  <c r="H593" i="9"/>
  <c r="H592" i="9" s="1"/>
  <c r="O592" i="9"/>
  <c r="N592" i="9"/>
  <c r="O591" i="9"/>
  <c r="N591" i="9"/>
  <c r="L591" i="9"/>
  <c r="G591" i="9" s="1"/>
  <c r="H591" i="9"/>
  <c r="O590" i="9"/>
  <c r="N590" i="9"/>
  <c r="L590" i="9"/>
  <c r="G590" i="9" s="1"/>
  <c r="I590" i="9"/>
  <c r="J590" i="9" s="1"/>
  <c r="H590" i="9"/>
  <c r="K590" i="9" s="1"/>
  <c r="O589" i="9"/>
  <c r="N589" i="9"/>
  <c r="L589" i="9"/>
  <c r="G589" i="9" s="1"/>
  <c r="H589" i="9"/>
  <c r="K589" i="9" s="1"/>
  <c r="O588" i="9"/>
  <c r="N588" i="9"/>
  <c r="L588" i="9" s="1"/>
  <c r="G588" i="9" s="1"/>
  <c r="H588" i="9"/>
  <c r="K588" i="9" s="1"/>
  <c r="O587" i="9"/>
  <c r="N587" i="9"/>
  <c r="L587" i="9" s="1"/>
  <c r="G587" i="9" s="1"/>
  <c r="K587" i="9"/>
  <c r="I587" i="9"/>
  <c r="J587" i="9" s="1"/>
  <c r="H587" i="9"/>
  <c r="O586" i="9"/>
  <c r="N586" i="9"/>
  <c r="L586" i="9" s="1"/>
  <c r="G586" i="9" s="1"/>
  <c r="H586" i="9"/>
  <c r="K586" i="9" s="1"/>
  <c r="O585" i="9"/>
  <c r="N585" i="9"/>
  <c r="L585" i="9"/>
  <c r="O584" i="9"/>
  <c r="N584" i="9"/>
  <c r="L584" i="9"/>
  <c r="O583" i="9"/>
  <c r="N583" i="9"/>
  <c r="L583" i="9" s="1"/>
  <c r="O582" i="9"/>
  <c r="N582" i="9"/>
  <c r="L582" i="9"/>
  <c r="H582" i="9"/>
  <c r="O581" i="9"/>
  <c r="N581" i="9"/>
  <c r="L581" i="9"/>
  <c r="L580" i="9" s="1"/>
  <c r="L576" i="9" s="1"/>
  <c r="O580" i="9"/>
  <c r="N580" i="9"/>
  <c r="O579" i="9"/>
  <c r="N579" i="9"/>
  <c r="L579" i="9"/>
  <c r="G579" i="9" s="1"/>
  <c r="K579" i="9"/>
  <c r="I579" i="9"/>
  <c r="J579" i="9" s="1"/>
  <c r="O578" i="9"/>
  <c r="N578" i="9"/>
  <c r="L578" i="9" s="1"/>
  <c r="G578" i="9" s="1"/>
  <c r="K578" i="9"/>
  <c r="I578" i="9"/>
  <c r="J578" i="9" s="1"/>
  <c r="O577" i="9"/>
  <c r="N577" i="9"/>
  <c r="L577" i="9"/>
  <c r="O576" i="9"/>
  <c r="N576" i="9"/>
  <c r="O575" i="9"/>
  <c r="N575" i="9"/>
  <c r="L575" i="9"/>
  <c r="O574" i="9"/>
  <c r="N574" i="9"/>
  <c r="L574" i="9" s="1"/>
  <c r="O573" i="9"/>
  <c r="N573" i="9"/>
  <c r="L573" i="9" s="1"/>
  <c r="O572" i="9"/>
  <c r="N572" i="9"/>
  <c r="L572" i="9" s="1"/>
  <c r="O571" i="9"/>
  <c r="N571" i="9"/>
  <c r="L571" i="9"/>
  <c r="O570" i="9"/>
  <c r="N570" i="9"/>
  <c r="L570" i="9" s="1"/>
  <c r="O569" i="9"/>
  <c r="N569" i="9"/>
  <c r="L569" i="9"/>
  <c r="O568" i="9"/>
  <c r="N568" i="9"/>
  <c r="L568" i="9" s="1"/>
  <c r="L567" i="9" s="1"/>
  <c r="H568" i="9"/>
  <c r="H567" i="9" s="1"/>
  <c r="O567" i="9"/>
  <c r="N567" i="9"/>
  <c r="O566" i="9"/>
  <c r="N566" i="9"/>
  <c r="L566" i="9"/>
  <c r="H566" i="9"/>
  <c r="O565" i="9"/>
  <c r="N565" i="9"/>
  <c r="L565" i="9"/>
  <c r="L564" i="9" s="1"/>
  <c r="L563" i="9" s="1"/>
  <c r="H565" i="9"/>
  <c r="O564" i="9"/>
  <c r="N564" i="9"/>
  <c r="H564" i="9"/>
  <c r="O563" i="9"/>
  <c r="N563" i="9"/>
  <c r="O562" i="9"/>
  <c r="N562" i="9"/>
  <c r="L562" i="9"/>
  <c r="O561" i="9"/>
  <c r="N561" i="9"/>
  <c r="L561" i="9" s="1"/>
  <c r="O560" i="9"/>
  <c r="N560" i="9"/>
  <c r="L560" i="9"/>
  <c r="H560" i="9"/>
  <c r="H554" i="9" s="1"/>
  <c r="O559" i="9"/>
  <c r="N559" i="9"/>
  <c r="L559" i="9"/>
  <c r="O558" i="9"/>
  <c r="N558" i="9"/>
  <c r="L558" i="9" s="1"/>
  <c r="O557" i="9"/>
  <c r="N557" i="9"/>
  <c r="L557" i="9"/>
  <c r="O556" i="9"/>
  <c r="N556" i="9"/>
  <c r="L556" i="9"/>
  <c r="O555" i="9"/>
  <c r="N555" i="9"/>
  <c r="L555" i="9"/>
  <c r="H555" i="9"/>
  <c r="O554" i="9"/>
  <c r="N554" i="9"/>
  <c r="L554" i="9"/>
  <c r="O553" i="9"/>
  <c r="N553" i="9"/>
  <c r="L553" i="9" s="1"/>
  <c r="H553" i="9"/>
  <c r="O552" i="9"/>
  <c r="N552" i="9"/>
  <c r="L552" i="9" s="1"/>
  <c r="H552" i="9"/>
  <c r="O551" i="9"/>
  <c r="N551" i="9"/>
  <c r="L551" i="9" s="1"/>
  <c r="O550" i="9"/>
  <c r="N550" i="9"/>
  <c r="L550" i="9"/>
  <c r="H550" i="9"/>
  <c r="O549" i="9"/>
  <c r="N549" i="9"/>
  <c r="L549" i="9"/>
  <c r="O548" i="9"/>
  <c r="N548" i="9"/>
  <c r="L548" i="9" s="1"/>
  <c r="H548" i="9"/>
  <c r="O547" i="9"/>
  <c r="N547" i="9"/>
  <c r="L547" i="9" s="1"/>
  <c r="H547" i="9"/>
  <c r="O546" i="9"/>
  <c r="N546" i="9"/>
  <c r="L546" i="9" s="1"/>
  <c r="H546" i="9"/>
  <c r="O545" i="9"/>
  <c r="N545" i="9"/>
  <c r="L545" i="9" s="1"/>
  <c r="H545" i="9"/>
  <c r="O544" i="9"/>
  <c r="N544" i="9"/>
  <c r="L544" i="9" s="1"/>
  <c r="H544" i="9"/>
  <c r="O543" i="9"/>
  <c r="N543" i="9"/>
  <c r="L543" i="9" s="1"/>
  <c r="H543" i="9"/>
  <c r="F543" i="9"/>
  <c r="O542" i="9"/>
  <c r="N542" i="9"/>
  <c r="L542" i="9"/>
  <c r="H542" i="9"/>
  <c r="O541" i="9"/>
  <c r="N541" i="9"/>
  <c r="L541" i="9"/>
  <c r="O540" i="9"/>
  <c r="N540" i="9"/>
  <c r="L540" i="9"/>
  <c r="O539" i="9"/>
  <c r="N539" i="9"/>
  <c r="L539" i="9"/>
  <c r="O538" i="9"/>
  <c r="N538" i="9"/>
  <c r="L538" i="9" s="1"/>
  <c r="O537" i="9"/>
  <c r="N537" i="9"/>
  <c r="L537" i="9"/>
  <c r="H537" i="9"/>
  <c r="O536" i="9"/>
  <c r="N536" i="9"/>
  <c r="L536" i="9"/>
  <c r="H536" i="9"/>
  <c r="O535" i="9"/>
  <c r="N535" i="9"/>
  <c r="L535" i="9"/>
  <c r="L534" i="9" s="1"/>
  <c r="L533" i="9" s="1"/>
  <c r="H535" i="9"/>
  <c r="O534" i="9"/>
  <c r="N534" i="9"/>
  <c r="O533" i="9"/>
  <c r="N533" i="9"/>
  <c r="O532" i="9"/>
  <c r="N532" i="9"/>
  <c r="L532" i="9"/>
  <c r="O531" i="9"/>
  <c r="L531" i="9" s="1"/>
  <c r="N531" i="9"/>
  <c r="O530" i="9"/>
  <c r="N530" i="9"/>
  <c r="L530" i="9" s="1"/>
  <c r="O529" i="9"/>
  <c r="N529" i="9"/>
  <c r="L529" i="9" s="1"/>
  <c r="O528" i="9"/>
  <c r="N528" i="9"/>
  <c r="L528" i="9"/>
  <c r="O527" i="9"/>
  <c r="N527" i="9"/>
  <c r="L527" i="9" s="1"/>
  <c r="O526" i="9"/>
  <c r="N526" i="9"/>
  <c r="L526" i="9"/>
  <c r="O525" i="9"/>
  <c r="N525" i="9"/>
  <c r="L525" i="9" s="1"/>
  <c r="H525" i="9"/>
  <c r="O524" i="9"/>
  <c r="L524" i="9" s="1"/>
  <c r="N524" i="9"/>
  <c r="O523" i="9"/>
  <c r="N523" i="9"/>
  <c r="L523" i="9"/>
  <c r="L522" i="9" s="1"/>
  <c r="O522" i="9"/>
  <c r="N522" i="9"/>
  <c r="H522" i="9"/>
  <c r="O521" i="9"/>
  <c r="N521" i="9"/>
  <c r="L521" i="9"/>
  <c r="H521" i="9"/>
  <c r="O520" i="9"/>
  <c r="N520" i="9"/>
  <c r="L520" i="9"/>
  <c r="H520" i="9"/>
  <c r="F520" i="9"/>
  <c r="O519" i="9"/>
  <c r="N519" i="9"/>
  <c r="L519" i="9" s="1"/>
  <c r="O518" i="9"/>
  <c r="N518" i="9"/>
  <c r="L518" i="9" s="1"/>
  <c r="H518" i="9"/>
  <c r="O517" i="9"/>
  <c r="N517" i="9"/>
  <c r="L517" i="9" s="1"/>
  <c r="O516" i="9"/>
  <c r="N516" i="9"/>
  <c r="L516" i="9" s="1"/>
  <c r="H516" i="9"/>
  <c r="O515" i="9"/>
  <c r="N515" i="9"/>
  <c r="L515" i="9" s="1"/>
  <c r="H515" i="9"/>
  <c r="O514" i="9"/>
  <c r="N514" i="9"/>
  <c r="L514" i="9" s="1"/>
  <c r="H514" i="9"/>
  <c r="O513" i="9"/>
  <c r="N513" i="9"/>
  <c r="L513" i="9" s="1"/>
  <c r="H513" i="9"/>
  <c r="F513" i="9"/>
  <c r="O512" i="9"/>
  <c r="N512" i="9"/>
  <c r="L512" i="9" s="1"/>
  <c r="H512" i="9"/>
  <c r="O511" i="9"/>
  <c r="N511" i="9"/>
  <c r="L511" i="9" s="1"/>
  <c r="H511" i="9"/>
  <c r="O510" i="9"/>
  <c r="N510" i="9"/>
  <c r="L510" i="9" s="1"/>
  <c r="H510" i="9"/>
  <c r="O509" i="9"/>
  <c r="N509" i="9"/>
  <c r="L509" i="9" s="1"/>
  <c r="H509" i="9"/>
  <c r="O508" i="9"/>
  <c r="N508" i="9"/>
  <c r="L508" i="9" s="1"/>
  <c r="H508" i="9"/>
  <c r="O507" i="9"/>
  <c r="N507" i="9"/>
  <c r="L507" i="9" s="1"/>
  <c r="L506" i="9" s="1"/>
  <c r="L500" i="9" s="1"/>
  <c r="O506" i="9"/>
  <c r="N506" i="9"/>
  <c r="O505" i="9"/>
  <c r="N505" i="9"/>
  <c r="L505" i="9"/>
  <c r="H505" i="9"/>
  <c r="O504" i="9"/>
  <c r="N504" i="9"/>
  <c r="L504" i="9"/>
  <c r="L503" i="9" s="1"/>
  <c r="O503" i="9"/>
  <c r="N503" i="9"/>
  <c r="O502" i="9"/>
  <c r="N502" i="9"/>
  <c r="L502" i="9"/>
  <c r="K502" i="9"/>
  <c r="I502" i="9"/>
  <c r="J502" i="9" s="1"/>
  <c r="G502" i="9"/>
  <c r="O501" i="9"/>
  <c r="L501" i="9" s="1"/>
  <c r="N501" i="9"/>
  <c r="O500" i="9"/>
  <c r="N500" i="9"/>
  <c r="O499" i="9"/>
  <c r="N499" i="9"/>
  <c r="L499" i="9" s="1"/>
  <c r="O498" i="9"/>
  <c r="N498" i="9"/>
  <c r="L498" i="9"/>
  <c r="O497" i="9"/>
  <c r="N497" i="9"/>
  <c r="L497" i="9" s="1"/>
  <c r="O496" i="9"/>
  <c r="N496" i="9"/>
  <c r="L496" i="9" s="1"/>
  <c r="O495" i="9"/>
  <c r="N495" i="9"/>
  <c r="L495" i="9" s="1"/>
  <c r="O494" i="9"/>
  <c r="N494" i="9"/>
  <c r="L494" i="9"/>
  <c r="O493" i="9"/>
  <c r="N493" i="9"/>
  <c r="L493" i="9" s="1"/>
  <c r="O492" i="9"/>
  <c r="N492" i="9"/>
  <c r="L492" i="9"/>
  <c r="O491" i="9"/>
  <c r="N491" i="9"/>
  <c r="L491" i="9" s="1"/>
  <c r="O490" i="9"/>
  <c r="N490" i="9"/>
  <c r="L490" i="9"/>
  <c r="O489" i="9"/>
  <c r="N489" i="9"/>
  <c r="L489" i="9" s="1"/>
  <c r="L488" i="9" s="1"/>
  <c r="H489" i="9"/>
  <c r="H488" i="9" s="1"/>
  <c r="O488" i="9"/>
  <c r="N488" i="9"/>
  <c r="O487" i="9"/>
  <c r="N487" i="9"/>
  <c r="L487" i="9" s="1"/>
  <c r="H487" i="9"/>
  <c r="O486" i="9"/>
  <c r="N486" i="9"/>
  <c r="L486" i="9" s="1"/>
  <c r="H486" i="9"/>
  <c r="O485" i="9"/>
  <c r="N485" i="9"/>
  <c r="L485" i="9" s="1"/>
  <c r="H485" i="9"/>
  <c r="O484" i="9"/>
  <c r="N484" i="9"/>
  <c r="L484" i="9" s="1"/>
  <c r="H484" i="9"/>
  <c r="O483" i="9"/>
  <c r="N483" i="9"/>
  <c r="L483" i="9" s="1"/>
  <c r="O482" i="9"/>
  <c r="N482" i="9"/>
  <c r="L482" i="9" s="1"/>
  <c r="H482" i="9"/>
  <c r="O481" i="9"/>
  <c r="N481" i="9"/>
  <c r="L481" i="9" s="1"/>
  <c r="H481" i="9"/>
  <c r="F481" i="9"/>
  <c r="O480" i="9"/>
  <c r="N480" i="9"/>
  <c r="L480" i="9"/>
  <c r="H480" i="9"/>
  <c r="O479" i="9"/>
  <c r="N479" i="9"/>
  <c r="L479" i="9"/>
  <c r="H479" i="9"/>
  <c r="O478" i="9"/>
  <c r="N478" i="9"/>
  <c r="L478" i="9"/>
  <c r="L477" i="9" s="1"/>
  <c r="H478" i="9"/>
  <c r="O477" i="9"/>
  <c r="N477" i="9"/>
  <c r="O476" i="9"/>
  <c r="N476" i="9"/>
  <c r="L476" i="9" s="1"/>
  <c r="H476" i="9"/>
  <c r="O475" i="9"/>
  <c r="N475" i="9"/>
  <c r="L475" i="9" s="1"/>
  <c r="L474" i="9" s="1"/>
  <c r="O474" i="9"/>
  <c r="N474" i="9"/>
  <c r="H474" i="9"/>
  <c r="O473" i="9"/>
  <c r="N473" i="9"/>
  <c r="O472" i="9"/>
  <c r="N472" i="9"/>
  <c r="L472" i="9"/>
  <c r="O471" i="9"/>
  <c r="N471" i="9"/>
  <c r="L471" i="9" s="1"/>
  <c r="O470" i="9"/>
  <c r="N470" i="9"/>
  <c r="L470" i="9" s="1"/>
  <c r="O469" i="9"/>
  <c r="N469" i="9"/>
  <c r="L469" i="9" s="1"/>
  <c r="O468" i="9"/>
  <c r="N468" i="9"/>
  <c r="L468" i="9"/>
  <c r="O467" i="9"/>
  <c r="N467" i="9"/>
  <c r="L467" i="9" s="1"/>
  <c r="O466" i="9"/>
  <c r="N466" i="9"/>
  <c r="L466" i="9"/>
  <c r="O465" i="9"/>
  <c r="L465" i="9" s="1"/>
  <c r="N465" i="9"/>
  <c r="O464" i="9"/>
  <c r="N464" i="9"/>
  <c r="L464" i="9"/>
  <c r="L463" i="9" s="1"/>
  <c r="H464" i="9"/>
  <c r="O463" i="9"/>
  <c r="N463" i="9"/>
  <c r="H463" i="9"/>
  <c r="O462" i="9"/>
  <c r="N462" i="9"/>
  <c r="L462" i="9" s="1"/>
  <c r="H462" i="9"/>
  <c r="O461" i="9"/>
  <c r="N461" i="9"/>
  <c r="L461" i="9" s="1"/>
  <c r="H461" i="9"/>
  <c r="O460" i="9"/>
  <c r="N460" i="9"/>
  <c r="L460" i="9" s="1"/>
  <c r="H460" i="9"/>
  <c r="H458" i="9" s="1"/>
  <c r="H457" i="9" s="1"/>
  <c r="O459" i="9"/>
  <c r="N459" i="9"/>
  <c r="L459" i="9" s="1"/>
  <c r="L458" i="9" s="1"/>
  <c r="H459" i="9"/>
  <c r="F459" i="9"/>
  <c r="O458" i="9"/>
  <c r="N458" i="9"/>
  <c r="O457" i="9"/>
  <c r="N457" i="9"/>
  <c r="O456" i="9"/>
  <c r="N456" i="9"/>
  <c r="L456" i="9"/>
  <c r="O455" i="9"/>
  <c r="N455" i="9"/>
  <c r="L455" i="9" s="1"/>
  <c r="O454" i="9"/>
  <c r="N454" i="9"/>
  <c r="L454" i="9"/>
  <c r="O453" i="9"/>
  <c r="N453" i="9"/>
  <c r="L453" i="9" s="1"/>
  <c r="O452" i="9"/>
  <c r="N452" i="9"/>
  <c r="L452" i="9"/>
  <c r="O451" i="9"/>
  <c r="N451" i="9"/>
  <c r="L451" i="9" s="1"/>
  <c r="O450" i="9"/>
  <c r="L450" i="9" s="1"/>
  <c r="N450" i="9"/>
  <c r="O449" i="9"/>
  <c r="N449" i="9"/>
  <c r="L449" i="9" s="1"/>
  <c r="H449" i="9"/>
  <c r="O448" i="9"/>
  <c r="N448" i="9"/>
  <c r="L448" i="9" s="1"/>
  <c r="L447" i="9" s="1"/>
  <c r="H448" i="9"/>
  <c r="H447" i="9" s="1"/>
  <c r="O447" i="9"/>
  <c r="N447" i="9"/>
  <c r="O446" i="9"/>
  <c r="N446" i="9"/>
  <c r="L446" i="9"/>
  <c r="H446" i="9"/>
  <c r="O445" i="9"/>
  <c r="N445" i="9"/>
  <c r="L445" i="9"/>
  <c r="O444" i="9"/>
  <c r="N444" i="9"/>
  <c r="L444" i="9" s="1"/>
  <c r="H444" i="9"/>
  <c r="O443" i="9"/>
  <c r="N443" i="9"/>
  <c r="L443" i="9" s="1"/>
  <c r="O442" i="9"/>
  <c r="N442" i="9"/>
  <c r="L442" i="9"/>
  <c r="H442" i="9"/>
  <c r="O441" i="9"/>
  <c r="N441" i="9"/>
  <c r="L441" i="9"/>
  <c r="O440" i="9"/>
  <c r="N440" i="9"/>
  <c r="L440" i="9" s="1"/>
  <c r="H440" i="9"/>
  <c r="O439" i="9"/>
  <c r="N439" i="9"/>
  <c r="L439" i="9" s="1"/>
  <c r="O438" i="9"/>
  <c r="N438" i="9"/>
  <c r="L438" i="9"/>
  <c r="H438" i="9"/>
  <c r="O437" i="9"/>
  <c r="N437" i="9"/>
  <c r="L437" i="9"/>
  <c r="H437" i="9"/>
  <c r="O436" i="9"/>
  <c r="N436" i="9"/>
  <c r="L436" i="9"/>
  <c r="H436" i="9"/>
  <c r="O435" i="9"/>
  <c r="N435" i="9"/>
  <c r="L435" i="9"/>
  <c r="H435" i="9"/>
  <c r="O434" i="9"/>
  <c r="N434" i="9"/>
  <c r="L434" i="9"/>
  <c r="H434" i="9"/>
  <c r="O433" i="9"/>
  <c r="N433" i="9"/>
  <c r="L433" i="9"/>
  <c r="H433" i="9"/>
  <c r="O432" i="9"/>
  <c r="N432" i="9"/>
  <c r="L432" i="9"/>
  <c r="H432" i="9"/>
  <c r="O431" i="9"/>
  <c r="N431" i="9"/>
  <c r="L431" i="9"/>
  <c r="H431" i="9"/>
  <c r="O430" i="9"/>
  <c r="N430" i="9"/>
  <c r="L430" i="9"/>
  <c r="H430" i="9"/>
  <c r="O429" i="9"/>
  <c r="N429" i="9"/>
  <c r="L429" i="9"/>
  <c r="H429" i="9"/>
  <c r="O428" i="9"/>
  <c r="N428" i="9"/>
  <c r="L428" i="9"/>
  <c r="O427" i="9"/>
  <c r="N427" i="9"/>
  <c r="L427" i="9"/>
  <c r="O426" i="9"/>
  <c r="N426" i="9"/>
  <c r="L426" i="9"/>
  <c r="O425" i="9"/>
  <c r="N425" i="9"/>
  <c r="L425" i="9" s="1"/>
  <c r="H425" i="9"/>
  <c r="O424" i="9"/>
  <c r="N424" i="9"/>
  <c r="L424" i="9" s="1"/>
  <c r="H424" i="9"/>
  <c r="O423" i="9"/>
  <c r="N423" i="9"/>
  <c r="L423" i="9" s="1"/>
  <c r="H423" i="9"/>
  <c r="O422" i="9"/>
  <c r="N422" i="9"/>
  <c r="L422" i="9" s="1"/>
  <c r="O421" i="9"/>
  <c r="N421" i="9"/>
  <c r="L421" i="9"/>
  <c r="H421" i="9"/>
  <c r="O420" i="9"/>
  <c r="N420" i="9"/>
  <c r="L420" i="9"/>
  <c r="O419" i="9"/>
  <c r="N419" i="9"/>
  <c r="L419" i="9" s="1"/>
  <c r="O418" i="9"/>
  <c r="N418" i="9"/>
  <c r="L418" i="9" s="1"/>
  <c r="O417" i="9"/>
  <c r="N417" i="9"/>
  <c r="L417" i="9" s="1"/>
  <c r="O416" i="9"/>
  <c r="N416" i="9"/>
  <c r="L416" i="9"/>
  <c r="H416" i="9"/>
  <c r="O415" i="9"/>
  <c r="N415" i="9"/>
  <c r="L415" i="9"/>
  <c r="L414" i="9" s="1"/>
  <c r="L406" i="9" s="1"/>
  <c r="O414" i="9"/>
  <c r="N414" i="9"/>
  <c r="O413" i="9"/>
  <c r="N413" i="9"/>
  <c r="L413" i="9"/>
  <c r="G413" i="9" s="1"/>
  <c r="H413" i="9"/>
  <c r="O412" i="9"/>
  <c r="N412" i="9"/>
  <c r="L412" i="9"/>
  <c r="G412" i="9" s="1"/>
  <c r="H412" i="9"/>
  <c r="O411" i="9"/>
  <c r="N411" i="9"/>
  <c r="L411" i="9"/>
  <c r="G411" i="9" s="1"/>
  <c r="H411" i="9"/>
  <c r="O410" i="9"/>
  <c r="N410" i="9"/>
  <c r="L410" i="9"/>
  <c r="G410" i="9" s="1"/>
  <c r="H410" i="9"/>
  <c r="O409" i="9"/>
  <c r="N409" i="9"/>
  <c r="L409" i="9"/>
  <c r="G409" i="9" s="1"/>
  <c r="H409" i="9"/>
  <c r="O408" i="9"/>
  <c r="N408" i="9"/>
  <c r="L408" i="9"/>
  <c r="G408" i="9" s="1"/>
  <c r="H408" i="9"/>
  <c r="O407" i="9"/>
  <c r="N407" i="9"/>
  <c r="L407" i="9"/>
  <c r="O406" i="9"/>
  <c r="N406" i="9"/>
  <c r="O405" i="9"/>
  <c r="N405" i="9"/>
  <c r="L405" i="9"/>
  <c r="H405" i="9"/>
  <c r="O404" i="9"/>
  <c r="N404" i="9"/>
  <c r="L404" i="9"/>
  <c r="H404" i="9"/>
  <c r="O403" i="9"/>
  <c r="N403" i="9"/>
  <c r="L403" i="9"/>
  <c r="H403" i="9"/>
  <c r="O402" i="9"/>
  <c r="N402" i="9"/>
  <c r="L402" i="9"/>
  <c r="H402" i="9"/>
  <c r="O401" i="9"/>
  <c r="N401" i="9"/>
  <c r="L401" i="9"/>
  <c r="H401" i="9"/>
  <c r="O400" i="9"/>
  <c r="N400" i="9"/>
  <c r="L400" i="9"/>
  <c r="L399" i="9" s="1"/>
  <c r="O399" i="9"/>
  <c r="N399" i="9"/>
  <c r="O398" i="9"/>
  <c r="N398" i="9"/>
  <c r="L398" i="9" s="1"/>
  <c r="H398" i="9"/>
  <c r="O397" i="9"/>
  <c r="N397" i="9"/>
  <c r="L397" i="9" s="1"/>
  <c r="H397" i="9"/>
  <c r="O396" i="9"/>
  <c r="N396" i="9"/>
  <c r="L396" i="9" s="1"/>
  <c r="H396" i="9"/>
  <c r="O395" i="9"/>
  <c r="N395" i="9"/>
  <c r="L395" i="9" s="1"/>
  <c r="H395" i="9"/>
  <c r="O394" i="9"/>
  <c r="N394" i="9"/>
  <c r="L394" i="9" s="1"/>
  <c r="H394" i="9"/>
  <c r="O393" i="9"/>
  <c r="N393" i="9"/>
  <c r="L393" i="9" s="1"/>
  <c r="H393" i="9"/>
  <c r="O392" i="9"/>
  <c r="N392" i="9"/>
  <c r="L392" i="9" s="1"/>
  <c r="L391" i="9" s="1"/>
  <c r="L373" i="9" s="1"/>
  <c r="O391" i="9"/>
  <c r="N391" i="9"/>
  <c r="O390" i="9"/>
  <c r="N390" i="9"/>
  <c r="L390" i="9"/>
  <c r="H390" i="9"/>
  <c r="O389" i="9"/>
  <c r="N389" i="9"/>
  <c r="L389" i="9"/>
  <c r="H389" i="9"/>
  <c r="O388" i="9"/>
  <c r="N388" i="9"/>
  <c r="L388" i="9"/>
  <c r="H388" i="9"/>
  <c r="O387" i="9"/>
  <c r="N387" i="9"/>
  <c r="L387" i="9"/>
  <c r="H387" i="9"/>
  <c r="O386" i="9"/>
  <c r="N386" i="9"/>
  <c r="L386" i="9"/>
  <c r="H386" i="9"/>
  <c r="O385" i="9"/>
  <c r="N385" i="9"/>
  <c r="L385" i="9"/>
  <c r="H385" i="9"/>
  <c r="O384" i="9"/>
  <c r="N384" i="9"/>
  <c r="L384" i="9"/>
  <c r="L383" i="9" s="1"/>
  <c r="O383" i="9"/>
  <c r="N383" i="9"/>
  <c r="O382" i="9"/>
  <c r="N382" i="9"/>
  <c r="L382" i="9"/>
  <c r="H382" i="9"/>
  <c r="O381" i="9"/>
  <c r="N381" i="9"/>
  <c r="L381" i="9"/>
  <c r="H381" i="9"/>
  <c r="O380" i="9"/>
  <c r="N380" i="9"/>
  <c r="L380" i="9"/>
  <c r="H380" i="9"/>
  <c r="O379" i="9"/>
  <c r="N379" i="9"/>
  <c r="L379" i="9"/>
  <c r="H379" i="9"/>
  <c r="O378" i="9"/>
  <c r="N378" i="9"/>
  <c r="L378" i="9"/>
  <c r="H378" i="9"/>
  <c r="O377" i="9"/>
  <c r="N377" i="9"/>
  <c r="L377" i="9"/>
  <c r="H377" i="9"/>
  <c r="O376" i="9"/>
  <c r="N376" i="9"/>
  <c r="L376" i="9"/>
  <c r="H376" i="9"/>
  <c r="O375" i="9"/>
  <c r="N375" i="9"/>
  <c r="L375" i="9"/>
  <c r="L374" i="9" s="1"/>
  <c r="O374" i="9"/>
  <c r="N374" i="9"/>
  <c r="O373" i="9"/>
  <c r="N373" i="9"/>
  <c r="O372" i="9"/>
  <c r="N372" i="9"/>
  <c r="L372" i="9" s="1"/>
  <c r="O371" i="9"/>
  <c r="N371" i="9"/>
  <c r="L371" i="9" s="1"/>
  <c r="O370" i="9"/>
  <c r="N370" i="9"/>
  <c r="L370" i="9" s="1"/>
  <c r="H370" i="9"/>
  <c r="O369" i="9"/>
  <c r="N369" i="9"/>
  <c r="L369" i="9" s="1"/>
  <c r="H369" i="9"/>
  <c r="O368" i="9"/>
  <c r="N368" i="9"/>
  <c r="L368" i="9" s="1"/>
  <c r="H368" i="9"/>
  <c r="O367" i="9"/>
  <c r="N367" i="9"/>
  <c r="L367" i="9" s="1"/>
  <c r="H367" i="9"/>
  <c r="O366" i="9"/>
  <c r="N366" i="9"/>
  <c r="L366" i="9" s="1"/>
  <c r="H366" i="9"/>
  <c r="O365" i="9"/>
  <c r="N365" i="9"/>
  <c r="L365" i="9" s="1"/>
  <c r="H365" i="9"/>
  <c r="O364" i="9"/>
  <c r="N364" i="9"/>
  <c r="L364" i="9" s="1"/>
  <c r="H364" i="9"/>
  <c r="O363" i="9"/>
  <c r="N363" i="9"/>
  <c r="L363" i="9" s="1"/>
  <c r="H363" i="9"/>
  <c r="O362" i="9"/>
  <c r="N362" i="9"/>
  <c r="L362" i="9" s="1"/>
  <c r="H362" i="9"/>
  <c r="O361" i="9"/>
  <c r="N361" i="9"/>
  <c r="L361" i="9" s="1"/>
  <c r="L360" i="9" s="1"/>
  <c r="H361" i="9"/>
  <c r="O360" i="9"/>
  <c r="N360" i="9"/>
  <c r="O359" i="9"/>
  <c r="N359" i="9"/>
  <c r="L359" i="9"/>
  <c r="O358" i="9"/>
  <c r="N358" i="9"/>
  <c r="L358" i="9" s="1"/>
  <c r="O357" i="9"/>
  <c r="N357" i="9"/>
  <c r="L357" i="9" s="1"/>
  <c r="H357" i="9"/>
  <c r="O356" i="9"/>
  <c r="N356" i="9"/>
  <c r="L356" i="9" s="1"/>
  <c r="H356" i="9"/>
  <c r="O355" i="9"/>
  <c r="N355" i="9"/>
  <c r="L355" i="9" s="1"/>
  <c r="H355" i="9"/>
  <c r="O354" i="9"/>
  <c r="N354" i="9"/>
  <c r="L354" i="9" s="1"/>
  <c r="H354" i="9"/>
  <c r="O353" i="9"/>
  <c r="N353" i="9"/>
  <c r="L353" i="9" s="1"/>
  <c r="H353" i="9"/>
  <c r="O352" i="9"/>
  <c r="N352" i="9"/>
  <c r="L352" i="9" s="1"/>
  <c r="H352" i="9"/>
  <c r="O351" i="9"/>
  <c r="N351" i="9"/>
  <c r="L351" i="9" s="1"/>
  <c r="H351" i="9"/>
  <c r="O350" i="9"/>
  <c r="N350" i="9"/>
  <c r="L350" i="9" s="1"/>
  <c r="H350" i="9"/>
  <c r="O349" i="9"/>
  <c r="N349" i="9"/>
  <c r="L349" i="9" s="1"/>
  <c r="H349" i="9"/>
  <c r="O348" i="9"/>
  <c r="N348" i="9"/>
  <c r="L348" i="9" s="1"/>
  <c r="H348" i="9"/>
  <c r="O347" i="9"/>
  <c r="N347" i="9"/>
  <c r="L347" i="9" s="1"/>
  <c r="H347" i="9"/>
  <c r="O346" i="9"/>
  <c r="N346" i="9"/>
  <c r="L346" i="9" s="1"/>
  <c r="O345" i="9"/>
  <c r="N345" i="9"/>
  <c r="L345" i="9" s="1"/>
  <c r="L344" i="9" s="1"/>
  <c r="H345" i="9"/>
  <c r="H344" i="9" s="1"/>
  <c r="O344" i="9"/>
  <c r="N344" i="9"/>
  <c r="O343" i="9"/>
  <c r="N343" i="9"/>
  <c r="L343" i="9" s="1"/>
  <c r="O342" i="9"/>
  <c r="N342" i="9"/>
  <c r="L342" i="9" s="1"/>
  <c r="O341" i="9"/>
  <c r="N341" i="9"/>
  <c r="L341" i="9"/>
  <c r="H341" i="9"/>
  <c r="O340" i="9"/>
  <c r="N340" i="9"/>
  <c r="L340" i="9"/>
  <c r="H340" i="9"/>
  <c r="O339" i="9"/>
  <c r="N339" i="9"/>
  <c r="L339" i="9"/>
  <c r="H339" i="9"/>
  <c r="O338" i="9"/>
  <c r="N338" i="9"/>
  <c r="L338" i="9"/>
  <c r="H338" i="9"/>
  <c r="O337" i="9"/>
  <c r="N337" i="9"/>
  <c r="L337" i="9"/>
  <c r="H337" i="9"/>
  <c r="O336" i="9"/>
  <c r="N336" i="9"/>
  <c r="L336" i="9"/>
  <c r="H336" i="9"/>
  <c r="O335" i="9"/>
  <c r="N335" i="9"/>
  <c r="L335" i="9"/>
  <c r="H335" i="9"/>
  <c r="O334" i="9"/>
  <c r="N334" i="9"/>
  <c r="L334" i="9"/>
  <c r="H334" i="9"/>
  <c r="O333" i="9"/>
  <c r="N333" i="9"/>
  <c r="L333" i="9"/>
  <c r="H333" i="9"/>
  <c r="O332" i="9"/>
  <c r="N332" i="9"/>
  <c r="L332" i="9"/>
  <c r="H332" i="9"/>
  <c r="O331" i="9"/>
  <c r="N331" i="9"/>
  <c r="L331" i="9"/>
  <c r="H331" i="9"/>
  <c r="O330" i="9"/>
  <c r="N330" i="9"/>
  <c r="L330" i="9"/>
  <c r="O329" i="9"/>
  <c r="N329" i="9"/>
  <c r="L329" i="9" s="1"/>
  <c r="L328" i="9" s="1"/>
  <c r="H329" i="9"/>
  <c r="O328" i="9"/>
  <c r="N328" i="9"/>
  <c r="O327" i="9"/>
  <c r="N327" i="9"/>
  <c r="L327" i="9"/>
  <c r="O326" i="9"/>
  <c r="N326" i="9"/>
  <c r="L326" i="9" s="1"/>
  <c r="H326" i="9"/>
  <c r="O325" i="9"/>
  <c r="N325" i="9"/>
  <c r="L325" i="9" s="1"/>
  <c r="H325" i="9"/>
  <c r="O324" i="9"/>
  <c r="N324" i="9"/>
  <c r="L324" i="9" s="1"/>
  <c r="H324" i="9"/>
  <c r="O323" i="9"/>
  <c r="N323" i="9"/>
  <c r="L323" i="9" s="1"/>
  <c r="H323" i="9"/>
  <c r="O322" i="9"/>
  <c r="N322" i="9"/>
  <c r="L322" i="9" s="1"/>
  <c r="H322" i="9"/>
  <c r="O321" i="9"/>
  <c r="N321" i="9"/>
  <c r="L321" i="9" s="1"/>
  <c r="H321" i="9"/>
  <c r="O320" i="9"/>
  <c r="N320" i="9"/>
  <c r="L320" i="9" s="1"/>
  <c r="H320" i="9"/>
  <c r="O319" i="9"/>
  <c r="N319" i="9"/>
  <c r="L319" i="9" s="1"/>
  <c r="H319" i="9"/>
  <c r="O318" i="9"/>
  <c r="N318" i="9"/>
  <c r="L318" i="9" s="1"/>
  <c r="H318" i="9"/>
  <c r="O317" i="9"/>
  <c r="N317" i="9"/>
  <c r="L317" i="9" s="1"/>
  <c r="H317" i="9"/>
  <c r="O316" i="9"/>
  <c r="N316" i="9"/>
  <c r="L316" i="9" s="1"/>
  <c r="H316" i="9"/>
  <c r="O315" i="9"/>
  <c r="N315" i="9"/>
  <c r="L315" i="9" s="1"/>
  <c r="H315" i="9"/>
  <c r="O314" i="9"/>
  <c r="N314" i="9"/>
  <c r="L314" i="9" s="1"/>
  <c r="O313" i="9"/>
  <c r="N313" i="9"/>
  <c r="L313" i="9"/>
  <c r="H313" i="9"/>
  <c r="O312" i="9"/>
  <c r="N312" i="9"/>
  <c r="L312" i="9"/>
  <c r="H312" i="9"/>
  <c r="O311" i="9"/>
  <c r="N311" i="9"/>
  <c r="O310" i="9"/>
  <c r="N310" i="9"/>
  <c r="L310" i="9" s="1"/>
  <c r="O309" i="9"/>
  <c r="N309" i="9"/>
  <c r="L309" i="9" s="1"/>
  <c r="H309" i="9"/>
  <c r="O308" i="9"/>
  <c r="N308" i="9"/>
  <c r="L308" i="9" s="1"/>
  <c r="L307" i="9" s="1"/>
  <c r="H308" i="9"/>
  <c r="O307" i="9"/>
  <c r="N307" i="9"/>
  <c r="O306" i="9"/>
  <c r="N306" i="9"/>
  <c r="L306" i="9"/>
  <c r="O305" i="9"/>
  <c r="N305" i="9"/>
  <c r="L305" i="9" s="1"/>
  <c r="O304" i="9"/>
  <c r="N304" i="9"/>
  <c r="L304" i="9" s="1"/>
  <c r="H304" i="9"/>
  <c r="O303" i="9"/>
  <c r="N303" i="9"/>
  <c r="L303" i="9" s="1"/>
  <c r="L302" i="9" s="1"/>
  <c r="H303" i="9"/>
  <c r="O302" i="9"/>
  <c r="N302" i="9"/>
  <c r="H302" i="9"/>
  <c r="O301" i="9"/>
  <c r="N301" i="9"/>
  <c r="L301" i="9" s="1"/>
  <c r="O300" i="9"/>
  <c r="N300" i="9"/>
  <c r="L300" i="9"/>
  <c r="O299" i="9"/>
  <c r="N299" i="9"/>
  <c r="L299" i="9" s="1"/>
  <c r="H299" i="9"/>
  <c r="O298" i="9"/>
  <c r="N298" i="9"/>
  <c r="L298" i="9" s="1"/>
  <c r="H298" i="9"/>
  <c r="O297" i="9"/>
  <c r="N297" i="9"/>
  <c r="L297" i="9" s="1"/>
  <c r="L296" i="9" s="1"/>
  <c r="H297" i="9"/>
  <c r="H296" i="9" s="1"/>
  <c r="O296" i="9"/>
  <c r="N296" i="9"/>
  <c r="O295" i="9"/>
  <c r="N295" i="9"/>
  <c r="L295" i="9" s="1"/>
  <c r="O294" i="9"/>
  <c r="N294" i="9"/>
  <c r="L294" i="9" s="1"/>
  <c r="O293" i="9"/>
  <c r="N293" i="9"/>
  <c r="L293" i="9"/>
  <c r="H293" i="9"/>
  <c r="O292" i="9"/>
  <c r="N292" i="9"/>
  <c r="L292" i="9"/>
  <c r="H292" i="9"/>
  <c r="O291" i="9"/>
  <c r="N291" i="9"/>
  <c r="L291" i="9"/>
  <c r="L290" i="9" s="1"/>
  <c r="H291" i="9"/>
  <c r="O290" i="9"/>
  <c r="N290" i="9"/>
  <c r="H290" i="9"/>
  <c r="O289" i="9"/>
  <c r="N289" i="9"/>
  <c r="L289" i="9" s="1"/>
  <c r="O288" i="9"/>
  <c r="N288" i="9"/>
  <c r="L288" i="9"/>
  <c r="O287" i="9"/>
  <c r="N287" i="9"/>
  <c r="L287" i="9" s="1"/>
  <c r="H287" i="9"/>
  <c r="O286" i="9"/>
  <c r="N286" i="9"/>
  <c r="L286" i="9" s="1"/>
  <c r="H286" i="9"/>
  <c r="O285" i="9"/>
  <c r="N285" i="9"/>
  <c r="L285" i="9" s="1"/>
  <c r="H285" i="9"/>
  <c r="O284" i="9"/>
  <c r="N284" i="9"/>
  <c r="L284" i="9" s="1"/>
  <c r="H284" i="9"/>
  <c r="O283" i="9"/>
  <c r="N283" i="9"/>
  <c r="L283" i="9" s="1"/>
  <c r="H283" i="9"/>
  <c r="O282" i="9"/>
  <c r="N282" i="9"/>
  <c r="L282" i="9" s="1"/>
  <c r="H282" i="9"/>
  <c r="O281" i="9"/>
  <c r="N281" i="9"/>
  <c r="L281" i="9" s="1"/>
  <c r="H281" i="9"/>
  <c r="O280" i="9"/>
  <c r="N280" i="9"/>
  <c r="L280" i="9" s="1"/>
  <c r="O279" i="9"/>
  <c r="N279" i="9"/>
  <c r="L279" i="9"/>
  <c r="H279" i="9"/>
  <c r="O278" i="9"/>
  <c r="N278" i="9"/>
  <c r="L278" i="9"/>
  <c r="H278" i="9"/>
  <c r="F278" i="9"/>
  <c r="O277" i="9"/>
  <c r="N277" i="9"/>
  <c r="L277" i="9" s="1"/>
  <c r="O276" i="9"/>
  <c r="N276" i="9"/>
  <c r="L276" i="9" s="1"/>
  <c r="O275" i="9"/>
  <c r="N275" i="9"/>
  <c r="L275" i="9" s="1"/>
  <c r="O274" i="9"/>
  <c r="N274" i="9"/>
  <c r="L274" i="9"/>
  <c r="H274" i="9"/>
  <c r="O273" i="9"/>
  <c r="N273" i="9"/>
  <c r="L273" i="9"/>
  <c r="O272" i="9"/>
  <c r="N272" i="9"/>
  <c r="L272" i="9" s="1"/>
  <c r="O271" i="9"/>
  <c r="N271" i="9"/>
  <c r="L271" i="9"/>
  <c r="O270" i="9"/>
  <c r="N270" i="9"/>
  <c r="L270" i="9" s="1"/>
  <c r="H270" i="9"/>
  <c r="O269" i="9"/>
  <c r="N269" i="9"/>
  <c r="L269" i="9" s="1"/>
  <c r="O268" i="9"/>
  <c r="N268" i="9"/>
  <c r="L268" i="9"/>
  <c r="O267" i="9"/>
  <c r="N267" i="9"/>
  <c r="L267" i="9" s="1"/>
  <c r="H267" i="9"/>
  <c r="O266" i="9"/>
  <c r="N266" i="9"/>
  <c r="L266" i="9" s="1"/>
  <c r="H266" i="9"/>
  <c r="O265" i="9"/>
  <c r="N265" i="9"/>
  <c r="L265" i="9" s="1"/>
  <c r="H265" i="9"/>
  <c r="O264" i="9"/>
  <c r="N264" i="9"/>
  <c r="L264" i="9" s="1"/>
  <c r="H264" i="9"/>
  <c r="O263" i="9"/>
  <c r="N263" i="9"/>
  <c r="L263" i="9" s="1"/>
  <c r="H263" i="9"/>
  <c r="O262" i="9"/>
  <c r="N262" i="9"/>
  <c r="L262" i="9" s="1"/>
  <c r="H262" i="9"/>
  <c r="O261" i="9"/>
  <c r="N261" i="9"/>
  <c r="L261" i="9" s="1"/>
  <c r="O260" i="9"/>
  <c r="N260" i="9"/>
  <c r="L260" i="9"/>
  <c r="O259" i="9"/>
  <c r="N259" i="9"/>
  <c r="L259" i="9" s="1"/>
  <c r="L258" i="9" s="1"/>
  <c r="L257" i="9" s="1"/>
  <c r="H259" i="9"/>
  <c r="O258" i="9"/>
  <c r="N258" i="9"/>
  <c r="O257" i="9"/>
  <c r="N257" i="9"/>
  <c r="O256" i="9"/>
  <c r="N256" i="9"/>
  <c r="L256" i="9" s="1"/>
  <c r="O255" i="9"/>
  <c r="N255" i="9"/>
  <c r="L255" i="9"/>
  <c r="O254" i="9"/>
  <c r="N254" i="9"/>
  <c r="L254" i="9" s="1"/>
  <c r="O253" i="9"/>
  <c r="L253" i="9" s="1"/>
  <c r="N253" i="9"/>
  <c r="O252" i="9"/>
  <c r="N252" i="9"/>
  <c r="L252" i="9" s="1"/>
  <c r="O251" i="9"/>
  <c r="N251" i="9"/>
  <c r="L251" i="9"/>
  <c r="O250" i="9"/>
  <c r="N250" i="9"/>
  <c r="L250" i="9" s="1"/>
  <c r="O249" i="9"/>
  <c r="N249" i="9"/>
  <c r="L249" i="9" s="1"/>
  <c r="O248" i="9"/>
  <c r="N248" i="9"/>
  <c r="L248" i="9" s="1"/>
  <c r="O247" i="9"/>
  <c r="L247" i="9" s="1"/>
  <c r="L246" i="9" s="1"/>
  <c r="L241" i="9" s="1"/>
  <c r="N247" i="9"/>
  <c r="O246" i="9"/>
  <c r="N246" i="9"/>
  <c r="H246" i="9"/>
  <c r="H241" i="9" s="1"/>
  <c r="O245" i="9"/>
  <c r="N245" i="9"/>
  <c r="L245" i="9"/>
  <c r="L244" i="9" s="1"/>
  <c r="O244" i="9"/>
  <c r="N244" i="9"/>
  <c r="H244" i="9"/>
  <c r="O243" i="9"/>
  <c r="N243" i="9"/>
  <c r="L243" i="9" s="1"/>
  <c r="G243" i="9" s="1"/>
  <c r="K243" i="9"/>
  <c r="I243" i="9"/>
  <c r="J243" i="9" s="1"/>
  <c r="O242" i="9"/>
  <c r="L242" i="9" s="1"/>
  <c r="N242" i="9"/>
  <c r="O241" i="9"/>
  <c r="N241" i="9"/>
  <c r="O240" i="9"/>
  <c r="N240" i="9"/>
  <c r="L240" i="9" s="1"/>
  <c r="O239" i="9"/>
  <c r="N239" i="9"/>
  <c r="L239" i="9"/>
  <c r="O238" i="9"/>
  <c r="N238" i="9"/>
  <c r="L238" i="9" s="1"/>
  <c r="H238" i="9"/>
  <c r="O237" i="9"/>
  <c r="N237" i="9"/>
  <c r="L237" i="9" s="1"/>
  <c r="H237" i="9"/>
  <c r="O236" i="9"/>
  <c r="N236" i="9"/>
  <c r="L236" i="9" s="1"/>
  <c r="H236" i="9"/>
  <c r="O235" i="9"/>
  <c r="N235" i="9"/>
  <c r="L235" i="9" s="1"/>
  <c r="H235" i="9"/>
  <c r="O234" i="9"/>
  <c r="N234" i="9"/>
  <c r="L234" i="9" s="1"/>
  <c r="H234" i="9"/>
  <c r="O233" i="9"/>
  <c r="N233" i="9"/>
  <c r="L233" i="9" s="1"/>
  <c r="H233" i="9"/>
  <c r="O232" i="9"/>
  <c r="N232" i="9"/>
  <c r="L232" i="9" s="1"/>
  <c r="H232" i="9"/>
  <c r="H229" i="9" s="1"/>
  <c r="O231" i="9"/>
  <c r="N231" i="9"/>
  <c r="L231" i="9" s="1"/>
  <c r="O230" i="9"/>
  <c r="N230" i="9"/>
  <c r="L230" i="9" s="1"/>
  <c r="L229" i="9" s="1"/>
  <c r="H230" i="9"/>
  <c r="O229" i="9"/>
  <c r="N229" i="9"/>
  <c r="O228" i="9"/>
  <c r="N228" i="9"/>
  <c r="O227" i="9"/>
  <c r="N227" i="9"/>
  <c r="L227" i="9" s="1"/>
  <c r="L226" i="9" s="1"/>
  <c r="O226" i="9"/>
  <c r="N226" i="9"/>
  <c r="H226" i="9"/>
  <c r="H220" i="9" s="1"/>
  <c r="O225" i="9"/>
  <c r="N225" i="9"/>
  <c r="L225" i="9" s="1"/>
  <c r="G225" i="9" s="1"/>
  <c r="K225" i="9"/>
  <c r="I225" i="9"/>
  <c r="J225" i="9" s="1"/>
  <c r="O224" i="9"/>
  <c r="N224" i="9"/>
  <c r="L224" i="9" s="1"/>
  <c r="G224" i="9" s="1"/>
  <c r="H224" i="9"/>
  <c r="O223" i="9"/>
  <c r="N223" i="9"/>
  <c r="L223" i="9" s="1"/>
  <c r="G223" i="9" s="1"/>
  <c r="K223" i="9"/>
  <c r="I223" i="9"/>
  <c r="J223" i="9" s="1"/>
  <c r="O222" i="9"/>
  <c r="N222" i="9"/>
  <c r="L222" i="9" s="1"/>
  <c r="G222" i="9" s="1"/>
  <c r="K222" i="9"/>
  <c r="I222" i="9"/>
  <c r="J222" i="9" s="1"/>
  <c r="O221" i="9"/>
  <c r="L221" i="9" s="1"/>
  <c r="N221" i="9"/>
  <c r="O220" i="9"/>
  <c r="N220" i="9"/>
  <c r="O219" i="9"/>
  <c r="N219" i="9"/>
  <c r="L219" i="9"/>
  <c r="H219" i="9"/>
  <c r="O218" i="9"/>
  <c r="N218" i="9"/>
  <c r="L218" i="9"/>
  <c r="H218" i="9"/>
  <c r="O217" i="9"/>
  <c r="N217" i="9"/>
  <c r="L217" i="9"/>
  <c r="H217" i="9"/>
  <c r="O216" i="9"/>
  <c r="N216" i="9"/>
  <c r="L216" i="9"/>
  <c r="H216" i="9"/>
  <c r="O215" i="9"/>
  <c r="N215" i="9"/>
  <c r="L215" i="9"/>
  <c r="H215" i="9"/>
  <c r="O214" i="9"/>
  <c r="N214" i="9"/>
  <c r="L214" i="9"/>
  <c r="H214" i="9"/>
  <c r="O213" i="9"/>
  <c r="N213" i="9"/>
  <c r="L213" i="9"/>
  <c r="H213" i="9"/>
  <c r="O212" i="9"/>
  <c r="N212" i="9"/>
  <c r="L212" i="9"/>
  <c r="H212" i="9"/>
  <c r="O211" i="9"/>
  <c r="N211" i="9"/>
  <c r="L211" i="9"/>
  <c r="H211" i="9"/>
  <c r="O210" i="9"/>
  <c r="N210" i="9"/>
  <c r="L210" i="9"/>
  <c r="H210" i="9"/>
  <c r="O209" i="9"/>
  <c r="N209" i="9"/>
  <c r="L209" i="9"/>
  <c r="H209" i="9"/>
  <c r="O208" i="9"/>
  <c r="N208" i="9"/>
  <c r="L208" i="9"/>
  <c r="H208" i="9"/>
  <c r="O207" i="9"/>
  <c r="N207" i="9"/>
  <c r="L207" i="9"/>
  <c r="H207" i="9"/>
  <c r="O206" i="9"/>
  <c r="N206" i="9"/>
  <c r="L206" i="9"/>
  <c r="H206" i="9"/>
  <c r="O205" i="9"/>
  <c r="N205" i="9"/>
  <c r="L205" i="9"/>
  <c r="O204" i="9"/>
  <c r="N204" i="9"/>
  <c r="L204" i="9" s="1"/>
  <c r="L203" i="9" s="1"/>
  <c r="H204" i="9"/>
  <c r="O203" i="9"/>
  <c r="N203" i="9"/>
  <c r="O202" i="9"/>
  <c r="N202" i="9"/>
  <c r="L202" i="9"/>
  <c r="O201" i="9"/>
  <c r="N201" i="9"/>
  <c r="L201" i="9" s="1"/>
  <c r="O200" i="9"/>
  <c r="N200" i="9"/>
  <c r="L200" i="9"/>
  <c r="O199" i="9"/>
  <c r="N199" i="9"/>
  <c r="L199" i="9" s="1"/>
  <c r="O198" i="9"/>
  <c r="N198" i="9"/>
  <c r="L198" i="9" s="1"/>
  <c r="O197" i="9"/>
  <c r="N197" i="9"/>
  <c r="L197" i="9" s="1"/>
  <c r="O196" i="9"/>
  <c r="N196" i="9"/>
  <c r="L196" i="9"/>
  <c r="O195" i="9"/>
  <c r="N195" i="9"/>
  <c r="L195" i="9" s="1"/>
  <c r="O194" i="9"/>
  <c r="N194" i="9"/>
  <c r="L194" i="9"/>
  <c r="O193" i="9"/>
  <c r="N193" i="9"/>
  <c r="L193" i="9" s="1"/>
  <c r="O192" i="9"/>
  <c r="N192" i="9"/>
  <c r="L192" i="9"/>
  <c r="O191" i="9"/>
  <c r="N191" i="9"/>
  <c r="L191" i="9" s="1"/>
  <c r="L190" i="9" s="1"/>
  <c r="O190" i="9"/>
  <c r="N190" i="9"/>
  <c r="H190" i="9"/>
  <c r="O189" i="9"/>
  <c r="N189" i="9"/>
  <c r="L189" i="9" s="1"/>
  <c r="H189" i="9"/>
  <c r="O188" i="9"/>
  <c r="N188" i="9"/>
  <c r="L188" i="9" s="1"/>
  <c r="H188" i="9"/>
  <c r="F188" i="9"/>
  <c r="O187" i="9"/>
  <c r="N187" i="9"/>
  <c r="L187" i="9"/>
  <c r="H187" i="9"/>
  <c r="F187" i="9"/>
  <c r="O186" i="9"/>
  <c r="N186" i="9"/>
  <c r="L186" i="9" s="1"/>
  <c r="O185" i="9"/>
  <c r="N185" i="9"/>
  <c r="L185" i="9"/>
  <c r="H185" i="9"/>
  <c r="H182" i="9" s="1"/>
  <c r="H181" i="9" s="1"/>
  <c r="O184" i="9"/>
  <c r="N184" i="9"/>
  <c r="L184" i="9"/>
  <c r="O183" i="9"/>
  <c r="N183" i="9"/>
  <c r="L183" i="9" s="1"/>
  <c r="O182" i="9"/>
  <c r="N182" i="9"/>
  <c r="L182" i="9"/>
  <c r="O181" i="9"/>
  <c r="N181" i="9"/>
  <c r="O180" i="9"/>
  <c r="N180" i="9"/>
  <c r="L180" i="9"/>
  <c r="H180" i="9"/>
  <c r="O179" i="9"/>
  <c r="N179" i="9"/>
  <c r="L179" i="9"/>
  <c r="H179" i="9"/>
  <c r="O178" i="9"/>
  <c r="N178" i="9"/>
  <c r="L178" i="9"/>
  <c r="H178" i="9"/>
  <c r="O177" i="9"/>
  <c r="N177" i="9"/>
  <c r="L177" i="9"/>
  <c r="H177" i="9"/>
  <c r="O176" i="9"/>
  <c r="N176" i="9"/>
  <c r="L176" i="9"/>
  <c r="O175" i="9"/>
  <c r="N175" i="9"/>
  <c r="L175" i="9" s="1"/>
  <c r="L174" i="9" s="1"/>
  <c r="H175" i="9"/>
  <c r="O174" i="9"/>
  <c r="N174" i="9"/>
  <c r="O173" i="9"/>
  <c r="N173" i="9"/>
  <c r="L173" i="9"/>
  <c r="O172" i="9"/>
  <c r="N172" i="9"/>
  <c r="L172" i="9" s="1"/>
  <c r="O171" i="9"/>
  <c r="N171" i="9"/>
  <c r="L171" i="9"/>
  <c r="H171" i="9"/>
  <c r="O170" i="9"/>
  <c r="N170" i="9"/>
  <c r="L170" i="9"/>
  <c r="H170" i="9"/>
  <c r="O169" i="9"/>
  <c r="N169" i="9"/>
  <c r="L169" i="9"/>
  <c r="H169" i="9"/>
  <c r="O168" i="9"/>
  <c r="N168" i="9"/>
  <c r="L168" i="9"/>
  <c r="O167" i="9"/>
  <c r="N167" i="9"/>
  <c r="L167" i="9" s="1"/>
  <c r="H167" i="9"/>
  <c r="O166" i="9"/>
  <c r="N166" i="9"/>
  <c r="L166" i="9" s="1"/>
  <c r="H166" i="9"/>
  <c r="O165" i="9"/>
  <c r="N165" i="9"/>
  <c r="L165" i="9" s="1"/>
  <c r="H165" i="9"/>
  <c r="O164" i="9"/>
  <c r="N164" i="9"/>
  <c r="L164" i="9" s="1"/>
  <c r="H164" i="9"/>
  <c r="O163" i="9"/>
  <c r="N163" i="9"/>
  <c r="L163" i="9" s="1"/>
  <c r="H163" i="9"/>
  <c r="O162" i="9"/>
  <c r="N162" i="9"/>
  <c r="L162" i="9" s="1"/>
  <c r="O161" i="9"/>
  <c r="N161" i="9"/>
  <c r="L161" i="9"/>
  <c r="H161" i="9"/>
  <c r="O160" i="9"/>
  <c r="N160" i="9"/>
  <c r="L160" i="9"/>
  <c r="L159" i="9" s="1"/>
  <c r="O159" i="9"/>
  <c r="N159" i="9"/>
  <c r="O158" i="9"/>
  <c r="N158" i="9"/>
  <c r="L158" i="9"/>
  <c r="L157" i="9" s="1"/>
  <c r="L151" i="9" s="1"/>
  <c r="H158" i="9"/>
  <c r="O157" i="9"/>
  <c r="N157" i="9"/>
  <c r="H157" i="9"/>
  <c r="O156" i="9"/>
  <c r="N156" i="9"/>
  <c r="L156" i="9" s="1"/>
  <c r="O155" i="9"/>
  <c r="N155" i="9"/>
  <c r="L155" i="9"/>
  <c r="L154" i="9" s="1"/>
  <c r="H155" i="9"/>
  <c r="O154" i="9"/>
  <c r="N154" i="9"/>
  <c r="H154" i="9"/>
  <c r="H151" i="9" s="1"/>
  <c r="O153" i="9"/>
  <c r="N153" i="9"/>
  <c r="L153" i="9" s="1"/>
  <c r="G153" i="9" s="1"/>
  <c r="K153" i="9"/>
  <c r="I153" i="9"/>
  <c r="J153" i="9" s="1"/>
  <c r="O152" i="9"/>
  <c r="N152" i="9"/>
  <c r="O151" i="9"/>
  <c r="N151" i="9"/>
  <c r="O150" i="9"/>
  <c r="N150" i="9"/>
  <c r="L150" i="9" s="1"/>
  <c r="O149" i="9"/>
  <c r="N149" i="9"/>
  <c r="L149" i="9"/>
  <c r="H149" i="9"/>
  <c r="O148" i="9"/>
  <c r="N148" i="9"/>
  <c r="L148" i="9" s="1"/>
  <c r="O147" i="9"/>
  <c r="N147" i="9"/>
  <c r="L147" i="9"/>
  <c r="L146" i="9" s="1"/>
  <c r="O146" i="9"/>
  <c r="N146" i="9"/>
  <c r="H146" i="9"/>
  <c r="O145" i="9"/>
  <c r="N145" i="9"/>
  <c r="L145" i="9"/>
  <c r="G145" i="9" s="1"/>
  <c r="K145" i="9"/>
  <c r="I145" i="9"/>
  <c r="J145" i="9" s="1"/>
  <c r="O144" i="9"/>
  <c r="L144" i="9" s="1"/>
  <c r="N144" i="9"/>
  <c r="O143" i="9"/>
  <c r="N143" i="9"/>
  <c r="H143" i="9"/>
  <c r="O142" i="9"/>
  <c r="N142" i="9"/>
  <c r="L142" i="9" s="1"/>
  <c r="H142" i="9"/>
  <c r="O141" i="9"/>
  <c r="N141" i="9"/>
  <c r="L141" i="9" s="1"/>
  <c r="O140" i="9"/>
  <c r="N140" i="9"/>
  <c r="L140" i="9" s="1"/>
  <c r="H140" i="9"/>
  <c r="O139" i="9"/>
  <c r="N139" i="9"/>
  <c r="L139" i="9" s="1"/>
  <c r="O138" i="9"/>
  <c r="N138" i="9"/>
  <c r="L138" i="9" s="1"/>
  <c r="L137" i="9" s="1"/>
  <c r="H138" i="9"/>
  <c r="O137" i="9"/>
  <c r="N137" i="9"/>
  <c r="O136" i="9"/>
  <c r="N136" i="9"/>
  <c r="L136" i="9" s="1"/>
  <c r="H136" i="9"/>
  <c r="O135" i="9"/>
  <c r="N135" i="9"/>
  <c r="L135" i="9" s="1"/>
  <c r="O134" i="9"/>
  <c r="N134" i="9"/>
  <c r="L134" i="9" s="1"/>
  <c r="H134" i="9"/>
  <c r="O133" i="9"/>
  <c r="N133" i="9"/>
  <c r="L133" i="9" s="1"/>
  <c r="H133" i="9"/>
  <c r="O132" i="9"/>
  <c r="N132" i="9"/>
  <c r="L132" i="9" s="1"/>
  <c r="H132" i="9"/>
  <c r="O131" i="9"/>
  <c r="N131" i="9"/>
  <c r="L131" i="9" s="1"/>
  <c r="L130" i="9" s="1"/>
  <c r="H131" i="9"/>
  <c r="O130" i="9"/>
  <c r="N130" i="9"/>
  <c r="O129" i="9"/>
  <c r="N129" i="9"/>
  <c r="L129" i="9"/>
  <c r="O128" i="9"/>
  <c r="N128" i="9"/>
  <c r="L128" i="9" s="1"/>
  <c r="O127" i="9"/>
  <c r="N127" i="9"/>
  <c r="L127" i="9"/>
  <c r="H127" i="9"/>
  <c r="O126" i="9"/>
  <c r="N126" i="9"/>
  <c r="L126" i="9"/>
  <c r="H126" i="9"/>
  <c r="O125" i="9"/>
  <c r="N125" i="9"/>
  <c r="L125" i="9"/>
  <c r="H125" i="9"/>
  <c r="O124" i="9"/>
  <c r="N124" i="9"/>
  <c r="L124" i="9"/>
  <c r="L123" i="9" s="1"/>
  <c r="O123" i="9"/>
  <c r="N123" i="9"/>
  <c r="O122" i="9"/>
  <c r="N122" i="9"/>
  <c r="L122" i="9"/>
  <c r="H122" i="9"/>
  <c r="O121" i="9"/>
  <c r="N121" i="9"/>
  <c r="L121" i="9"/>
  <c r="H121" i="9"/>
  <c r="O120" i="9"/>
  <c r="N120" i="9"/>
  <c r="L120" i="9"/>
  <c r="O119" i="9"/>
  <c r="N119" i="9"/>
  <c r="L119" i="9" s="1"/>
  <c r="O118" i="9"/>
  <c r="N118" i="9"/>
  <c r="L118" i="9" s="1"/>
  <c r="H118" i="9"/>
  <c r="O117" i="9"/>
  <c r="N117" i="9"/>
  <c r="L117" i="9" s="1"/>
  <c r="H117" i="9"/>
  <c r="O116" i="9"/>
  <c r="N116" i="9"/>
  <c r="L116" i="9" s="1"/>
  <c r="H116" i="9"/>
  <c r="O115" i="9"/>
  <c r="N115" i="9"/>
  <c r="L115" i="9" s="1"/>
  <c r="H115" i="9"/>
  <c r="O114" i="9"/>
  <c r="N114" i="9"/>
  <c r="L114" i="9" s="1"/>
  <c r="H114" i="9"/>
  <c r="O113" i="9"/>
  <c r="N113" i="9"/>
  <c r="L113" i="9" s="1"/>
  <c r="H113" i="9"/>
  <c r="O112" i="9"/>
  <c r="N112" i="9"/>
  <c r="L112" i="9" s="1"/>
  <c r="O111" i="9"/>
  <c r="N111" i="9"/>
  <c r="L111" i="9"/>
  <c r="H111" i="9"/>
  <c r="H104" i="9" s="1"/>
  <c r="O110" i="9"/>
  <c r="N110" i="9"/>
  <c r="L110" i="9"/>
  <c r="O109" i="9"/>
  <c r="N109" i="9"/>
  <c r="L109" i="9" s="1"/>
  <c r="O108" i="9"/>
  <c r="N108" i="9"/>
  <c r="L108" i="9"/>
  <c r="O107" i="9"/>
  <c r="N107" i="9"/>
  <c r="L107" i="9" s="1"/>
  <c r="O106" i="9"/>
  <c r="N106" i="9"/>
  <c r="L106" i="9" s="1"/>
  <c r="O105" i="9"/>
  <c r="N105" i="9"/>
  <c r="L105" i="9" s="1"/>
  <c r="L104" i="9" s="1"/>
  <c r="O104" i="9"/>
  <c r="N104" i="9"/>
  <c r="O103" i="9"/>
  <c r="N103" i="9"/>
  <c r="L103" i="9" s="1"/>
  <c r="H103" i="9"/>
  <c r="O102" i="9"/>
  <c r="N102" i="9"/>
  <c r="L102" i="9" s="1"/>
  <c r="H102" i="9"/>
  <c r="O101" i="9"/>
  <c r="N101" i="9"/>
  <c r="L101" i="9" s="1"/>
  <c r="O100" i="9"/>
  <c r="N100" i="9"/>
  <c r="L100" i="9" s="1"/>
  <c r="O99" i="9"/>
  <c r="N99" i="9"/>
  <c r="L99" i="9" s="1"/>
  <c r="H99" i="9"/>
  <c r="O98" i="9"/>
  <c r="N98" i="9"/>
  <c r="L98" i="9" s="1"/>
  <c r="H98" i="9"/>
  <c r="O97" i="9"/>
  <c r="N97" i="9"/>
  <c r="L97" i="9" s="1"/>
  <c r="H97" i="9"/>
  <c r="O96" i="9"/>
  <c r="N96" i="9"/>
  <c r="L96" i="9" s="1"/>
  <c r="H96" i="9"/>
  <c r="O95" i="9"/>
  <c r="N95" i="9"/>
  <c r="L95" i="9" s="1"/>
  <c r="H95" i="9"/>
  <c r="O94" i="9"/>
  <c r="N94" i="9"/>
  <c r="L94" i="9" s="1"/>
  <c r="H94" i="9"/>
  <c r="O93" i="9"/>
  <c r="N93" i="9"/>
  <c r="L93" i="9" s="1"/>
  <c r="O92" i="9"/>
  <c r="N92" i="9"/>
  <c r="L92" i="9"/>
  <c r="H92" i="9"/>
  <c r="O91" i="9"/>
  <c r="N91" i="9"/>
  <c r="L91" i="9"/>
  <c r="O90" i="9"/>
  <c r="N90" i="9"/>
  <c r="L90" i="9" s="1"/>
  <c r="O89" i="9"/>
  <c r="N89" i="9"/>
  <c r="L89" i="9" s="1"/>
  <c r="O88" i="9"/>
  <c r="N88" i="9"/>
  <c r="L88" i="9" s="1"/>
  <c r="O87" i="9"/>
  <c r="N87" i="9"/>
  <c r="L87" i="9"/>
  <c r="O86" i="9"/>
  <c r="N86" i="9"/>
  <c r="L86" i="9" s="1"/>
  <c r="L85" i="9" s="1"/>
  <c r="L84" i="9" s="1"/>
  <c r="O85" i="9"/>
  <c r="N85" i="9"/>
  <c r="H85" i="9"/>
  <c r="O84" i="9"/>
  <c r="N84" i="9"/>
  <c r="O83" i="9"/>
  <c r="N83" i="9"/>
  <c r="L83" i="9" s="1"/>
  <c r="O82" i="9"/>
  <c r="N82" i="9"/>
  <c r="L82" i="9" s="1"/>
  <c r="O81" i="9"/>
  <c r="N81" i="9"/>
  <c r="L81" i="9"/>
  <c r="O80" i="9"/>
  <c r="N80" i="9"/>
  <c r="L80" i="9" s="1"/>
  <c r="H80" i="9"/>
  <c r="O79" i="9"/>
  <c r="N79" i="9"/>
  <c r="L79" i="9" s="1"/>
  <c r="H79" i="9"/>
  <c r="O78" i="9"/>
  <c r="N78" i="9"/>
  <c r="L78" i="9" s="1"/>
  <c r="H78" i="9"/>
  <c r="O77" i="9"/>
  <c r="N77" i="9"/>
  <c r="L77" i="9" s="1"/>
  <c r="O76" i="9"/>
  <c r="N76" i="9"/>
  <c r="L76" i="9"/>
  <c r="O75" i="9"/>
  <c r="N75" i="9"/>
  <c r="L75" i="9" s="1"/>
  <c r="H75" i="9"/>
  <c r="O74" i="9"/>
  <c r="N74" i="9"/>
  <c r="L74" i="9" s="1"/>
  <c r="H74" i="9"/>
  <c r="O73" i="9"/>
  <c r="N73" i="9"/>
  <c r="L73" i="9" s="1"/>
  <c r="H73" i="9"/>
  <c r="O72" i="9"/>
  <c r="N72" i="9"/>
  <c r="L72" i="9" s="1"/>
  <c r="O71" i="9"/>
  <c r="N71" i="9"/>
  <c r="L71" i="9"/>
  <c r="L70" i="9" s="1"/>
  <c r="H71" i="9"/>
  <c r="H70" i="9" s="1"/>
  <c r="O70" i="9"/>
  <c r="N70" i="9"/>
  <c r="O69" i="9"/>
  <c r="N69" i="9"/>
  <c r="L69" i="9" s="1"/>
  <c r="O68" i="9"/>
  <c r="N68" i="9"/>
  <c r="L68" i="9"/>
  <c r="H68" i="9"/>
  <c r="O67" i="9"/>
  <c r="N67" i="9"/>
  <c r="L67" i="9"/>
  <c r="H67" i="9"/>
  <c r="O66" i="9"/>
  <c r="N66" i="9"/>
  <c r="L66" i="9"/>
  <c r="H66" i="9"/>
  <c r="O65" i="9"/>
  <c r="N65" i="9"/>
  <c r="L65" i="9"/>
  <c r="H65" i="9"/>
  <c r="O64" i="9"/>
  <c r="N64" i="9"/>
  <c r="L64" i="9"/>
  <c r="O63" i="9"/>
  <c r="N63" i="9"/>
  <c r="L63" i="9" s="1"/>
  <c r="H63" i="9"/>
  <c r="O62" i="9"/>
  <c r="N62" i="9"/>
  <c r="L62" i="9" s="1"/>
  <c r="H62" i="9"/>
  <c r="O61" i="9"/>
  <c r="N61" i="9"/>
  <c r="L61" i="9" s="1"/>
  <c r="O60" i="9"/>
  <c r="N60" i="9"/>
  <c r="L60" i="9"/>
  <c r="O59" i="9"/>
  <c r="N59" i="9"/>
  <c r="L59" i="9" s="1"/>
  <c r="H59" i="9"/>
  <c r="O58" i="9"/>
  <c r="N58" i="9"/>
  <c r="L58" i="9" s="1"/>
  <c r="H58" i="9"/>
  <c r="O57" i="9"/>
  <c r="N57" i="9"/>
  <c r="L57" i="9" s="1"/>
  <c r="H57" i="9"/>
  <c r="O56" i="9"/>
  <c r="N56" i="9"/>
  <c r="L56" i="9" s="1"/>
  <c r="O55" i="9"/>
  <c r="N55" i="9"/>
  <c r="L55" i="9"/>
  <c r="H55" i="9"/>
  <c r="O54" i="9"/>
  <c r="N54" i="9"/>
  <c r="L54" i="9"/>
  <c r="O53" i="9"/>
  <c r="N53" i="9"/>
  <c r="L53" i="9" s="1"/>
  <c r="O52" i="9"/>
  <c r="N52" i="9"/>
  <c r="L52" i="9" s="1"/>
  <c r="H52" i="9"/>
  <c r="O51" i="9"/>
  <c r="N51" i="9"/>
  <c r="L51" i="9" s="1"/>
  <c r="H51" i="9"/>
  <c r="O50" i="9"/>
  <c r="N50" i="9"/>
  <c r="L50" i="9" s="1"/>
  <c r="H50" i="9"/>
  <c r="O49" i="9"/>
  <c r="N49" i="9"/>
  <c r="L49" i="9" s="1"/>
  <c r="H49" i="9"/>
  <c r="O48" i="9"/>
  <c r="N48" i="9"/>
  <c r="L48" i="9" s="1"/>
  <c r="L47" i="9" s="1"/>
  <c r="H48" i="9"/>
  <c r="O47" i="9"/>
  <c r="N47" i="9"/>
  <c r="O46" i="9"/>
  <c r="N46" i="9"/>
  <c r="L46" i="9" s="1"/>
  <c r="O45" i="9"/>
  <c r="N45" i="9"/>
  <c r="L45" i="9"/>
  <c r="O44" i="9"/>
  <c r="N44" i="9"/>
  <c r="L44" i="9" s="1"/>
  <c r="H44" i="9"/>
  <c r="O43" i="9"/>
  <c r="N43" i="9"/>
  <c r="L43" i="9" s="1"/>
  <c r="H43" i="9"/>
  <c r="F43" i="9"/>
  <c r="O42" i="9"/>
  <c r="N42" i="9"/>
  <c r="L42" i="9"/>
  <c r="H42" i="9"/>
  <c r="F42" i="9"/>
  <c r="O41" i="9"/>
  <c r="N41" i="9"/>
  <c r="L41" i="9" s="1"/>
  <c r="H41" i="9"/>
  <c r="O40" i="9"/>
  <c r="N40" i="9"/>
  <c r="L40" i="9" s="1"/>
  <c r="H40" i="9"/>
  <c r="F40" i="9"/>
  <c r="O39" i="9"/>
  <c r="N39" i="9"/>
  <c r="L39" i="9"/>
  <c r="H39" i="9"/>
  <c r="O38" i="9"/>
  <c r="N38" i="9"/>
  <c r="L38" i="9"/>
  <c r="O37" i="9"/>
  <c r="N37" i="9"/>
  <c r="L37" i="9" s="1"/>
  <c r="O36" i="9"/>
  <c r="N36" i="9"/>
  <c r="L36" i="9" s="1"/>
  <c r="H36" i="9"/>
  <c r="O35" i="9"/>
  <c r="N35" i="9"/>
  <c r="L35" i="9" s="1"/>
  <c r="H35" i="9"/>
  <c r="O34" i="9"/>
  <c r="N34" i="9"/>
  <c r="L34" i="9" s="1"/>
  <c r="H34" i="9"/>
  <c r="O33" i="9"/>
  <c r="N33" i="9"/>
  <c r="L33" i="9" s="1"/>
  <c r="O32" i="9"/>
  <c r="N32" i="9"/>
  <c r="L32" i="9" s="1"/>
  <c r="L31" i="9" s="1"/>
  <c r="H32" i="9"/>
  <c r="O31" i="9"/>
  <c r="N31" i="9"/>
  <c r="O30" i="9"/>
  <c r="N30" i="9"/>
  <c r="L30" i="9" s="1"/>
  <c r="O29" i="9"/>
  <c r="N29" i="9"/>
  <c r="L29" i="9" s="1"/>
  <c r="O28" i="9"/>
  <c r="N28" i="9"/>
  <c r="L28" i="9"/>
  <c r="H28" i="9"/>
  <c r="O27" i="9"/>
  <c r="N27" i="9"/>
  <c r="L27" i="9"/>
  <c r="H27" i="9"/>
  <c r="F27" i="9"/>
  <c r="O26" i="9"/>
  <c r="N26" i="9"/>
  <c r="L26" i="9" s="1"/>
  <c r="H26" i="9"/>
  <c r="O25" i="9"/>
  <c r="N25" i="9"/>
  <c r="L25" i="9" s="1"/>
  <c r="O24" i="9"/>
  <c r="N24" i="9"/>
  <c r="L24" i="9"/>
  <c r="O23" i="9"/>
  <c r="N23" i="9"/>
  <c r="L23" i="9" s="1"/>
  <c r="H23" i="9"/>
  <c r="O22" i="9"/>
  <c r="N22" i="9"/>
  <c r="L22" i="9" s="1"/>
  <c r="H22" i="9"/>
  <c r="O21" i="9"/>
  <c r="N21" i="9"/>
  <c r="L21" i="9" s="1"/>
  <c r="H21" i="9"/>
  <c r="G21" i="9"/>
  <c r="O20" i="9"/>
  <c r="N20" i="9"/>
  <c r="L20" i="9" s="1"/>
  <c r="O19" i="9"/>
  <c r="N19" i="9"/>
  <c r="L19" i="9"/>
  <c r="L18" i="9" s="1"/>
  <c r="H19" i="9"/>
  <c r="H18" i="9" s="1"/>
  <c r="O18" i="9"/>
  <c r="N18" i="9"/>
  <c r="O17" i="9"/>
  <c r="N17" i="9"/>
  <c r="O16" i="9"/>
  <c r="N16" i="9"/>
  <c r="C4" i="9"/>
  <c r="K79" i="9" s="1"/>
  <c r="G79" i="9" s="1"/>
  <c r="L181" i="9" l="1"/>
  <c r="L473" i="9"/>
  <c r="I648" i="9"/>
  <c r="J648" i="9" s="1"/>
  <c r="K652" i="9"/>
  <c r="I655" i="9"/>
  <c r="J655" i="9" s="1"/>
  <c r="L143" i="9"/>
  <c r="I586" i="9"/>
  <c r="J586" i="9" s="1"/>
  <c r="I588" i="9"/>
  <c r="J588" i="9" s="1"/>
  <c r="K658" i="9"/>
  <c r="H258" i="9"/>
  <c r="H328" i="9"/>
  <c r="H563" i="9"/>
  <c r="I589" i="9"/>
  <c r="J589" i="9" s="1"/>
  <c r="K653" i="9"/>
  <c r="K656" i="9"/>
  <c r="J723" i="9"/>
  <c r="K814" i="9"/>
  <c r="K934" i="9"/>
  <c r="I934" i="9"/>
  <c r="J934" i="9" s="1"/>
  <c r="L457" i="9"/>
  <c r="G723" i="9"/>
  <c r="L17" i="9"/>
  <c r="L944" i="9" s="1"/>
  <c r="L955" i="9" s="1"/>
  <c r="H307" i="9"/>
  <c r="H360" i="9"/>
  <c r="H311" i="9" s="1"/>
  <c r="I646" i="9"/>
  <c r="J646" i="9" s="1"/>
  <c r="I650" i="9"/>
  <c r="J650" i="9" s="1"/>
  <c r="H31" i="9"/>
  <c r="H584" i="9"/>
  <c r="H704" i="9"/>
  <c r="K923" i="9"/>
  <c r="BR17" i="28"/>
  <c r="A88" i="31"/>
  <c r="A89" i="31" s="1"/>
  <c r="A90" i="31" s="1"/>
  <c r="A91" i="31" s="1"/>
  <c r="A92" i="31" s="1"/>
  <c r="A93" i="31" s="1"/>
  <c r="A94" i="31" s="1"/>
  <c r="L946" i="9"/>
  <c r="K25" i="9"/>
  <c r="G25" i="9" s="1"/>
  <c r="K27" i="9"/>
  <c r="G27" i="9" s="1"/>
  <c r="K28" i="9"/>
  <c r="G28" i="9" s="1"/>
  <c r="K29" i="9"/>
  <c r="G29" i="9" s="1"/>
  <c r="K39" i="9"/>
  <c r="G39" i="9" s="1"/>
  <c r="K44" i="9"/>
  <c r="G44" i="9" s="1"/>
  <c r="K48" i="9"/>
  <c r="H47" i="9"/>
  <c r="H17" i="9" s="1"/>
  <c r="K49" i="9"/>
  <c r="G49" i="9" s="1"/>
  <c r="K50" i="9"/>
  <c r="G50" i="9" s="1"/>
  <c r="K51" i="9"/>
  <c r="G51" i="9" s="1"/>
  <c r="K52" i="9"/>
  <c r="G52" i="9" s="1"/>
  <c r="K57" i="9"/>
  <c r="G57" i="9" s="1"/>
  <c r="K59" i="9"/>
  <c r="G59" i="9" s="1"/>
  <c r="K65" i="9"/>
  <c r="G65" i="9" s="1"/>
  <c r="K66" i="9"/>
  <c r="G66" i="9" s="1"/>
  <c r="K67" i="9"/>
  <c r="G67" i="9" s="1"/>
  <c r="K68" i="9"/>
  <c r="G68" i="9" s="1"/>
  <c r="K69" i="9"/>
  <c r="G69" i="9" s="1"/>
  <c r="K77" i="9"/>
  <c r="G77" i="9" s="1"/>
  <c r="K111" i="9"/>
  <c r="G111" i="9" s="1"/>
  <c r="K36" i="9"/>
  <c r="G36" i="9" s="1"/>
  <c r="K55" i="9"/>
  <c r="H54" i="9"/>
  <c r="I26" i="26"/>
  <c r="I22" i="26"/>
  <c r="I28" i="26"/>
  <c r="I24" i="26"/>
  <c r="K942" i="9"/>
  <c r="G942" i="9" s="1"/>
  <c r="K927" i="9"/>
  <c r="K918" i="9"/>
  <c r="G918" i="9" s="1"/>
  <c r="K909" i="9"/>
  <c r="G909" i="9" s="1"/>
  <c r="K902" i="9"/>
  <c r="G902" i="9" s="1"/>
  <c r="K894" i="9"/>
  <c r="G894" i="9" s="1"/>
  <c r="K888" i="9"/>
  <c r="G888" i="9" s="1"/>
  <c r="K941" i="9"/>
  <c r="G941" i="9" s="1"/>
  <c r="K937" i="9"/>
  <c r="K906" i="9"/>
  <c r="G906" i="9" s="1"/>
  <c r="K896" i="9"/>
  <c r="G896" i="9" s="1"/>
  <c r="K893" i="9"/>
  <c r="G893" i="9" s="1"/>
  <c r="K887" i="9"/>
  <c r="G887" i="9" s="1"/>
  <c r="K881" i="9"/>
  <c r="G881" i="9" s="1"/>
  <c r="K868" i="9"/>
  <c r="G868" i="9" s="1"/>
  <c r="K862" i="9"/>
  <c r="G862" i="9" s="1"/>
  <c r="K860" i="9"/>
  <c r="G860" i="9" s="1"/>
  <c r="K856" i="9"/>
  <c r="G856" i="9" s="1"/>
  <c r="K852" i="9"/>
  <c r="G852" i="9" s="1"/>
  <c r="K848" i="9"/>
  <c r="G848" i="9" s="1"/>
  <c r="K844" i="9"/>
  <c r="G844" i="9" s="1"/>
  <c r="K837" i="9"/>
  <c r="G837" i="9" s="1"/>
  <c r="K833" i="9"/>
  <c r="G833" i="9" s="1"/>
  <c r="K829" i="9"/>
  <c r="G829" i="9" s="1"/>
  <c r="K825" i="9"/>
  <c r="G825" i="9" s="1"/>
  <c r="K821" i="9"/>
  <c r="G821" i="9" s="1"/>
  <c r="K817" i="9"/>
  <c r="G817" i="9" s="1"/>
  <c r="I27" i="26"/>
  <c r="I25" i="26"/>
  <c r="I23" i="26"/>
  <c r="I21" i="26"/>
  <c r="K939" i="9"/>
  <c r="G939" i="9" s="1"/>
  <c r="K928" i="9"/>
  <c r="G928" i="9" s="1"/>
  <c r="K916" i="9"/>
  <c r="G916" i="9" s="1"/>
  <c r="K908" i="9"/>
  <c r="G908" i="9" s="1"/>
  <c r="K904" i="9"/>
  <c r="G904" i="9" s="1"/>
  <c r="K891" i="9"/>
  <c r="G891" i="9" s="1"/>
  <c r="K885" i="9"/>
  <c r="G885" i="9" s="1"/>
  <c r="K874" i="9"/>
  <c r="G874" i="9" s="1"/>
  <c r="K870" i="9"/>
  <c r="G870" i="9" s="1"/>
  <c r="K866" i="9"/>
  <c r="G866" i="9" s="1"/>
  <c r="K858" i="9"/>
  <c r="G858" i="9" s="1"/>
  <c r="K854" i="9"/>
  <c r="G854" i="9" s="1"/>
  <c r="K850" i="9"/>
  <c r="G850" i="9" s="1"/>
  <c r="K846" i="9"/>
  <c r="G846" i="9" s="1"/>
  <c r="K839" i="9"/>
  <c r="G839" i="9" s="1"/>
  <c r="K835" i="9"/>
  <c r="G835" i="9" s="1"/>
  <c r="K831" i="9"/>
  <c r="G831" i="9" s="1"/>
  <c r="K827" i="9"/>
  <c r="G827" i="9" s="1"/>
  <c r="K823" i="9"/>
  <c r="G823" i="9" s="1"/>
  <c r="K819" i="9"/>
  <c r="G819" i="9" s="1"/>
  <c r="K938" i="9"/>
  <c r="G938" i="9" s="1"/>
  <c r="K919" i="9"/>
  <c r="G919" i="9" s="1"/>
  <c r="K915" i="9"/>
  <c r="G915" i="9" s="1"/>
  <c r="K889" i="9"/>
  <c r="G889" i="9" s="1"/>
  <c r="K877" i="9"/>
  <c r="G877" i="9" s="1"/>
  <c r="K857" i="9"/>
  <c r="G857" i="9" s="1"/>
  <c r="K849" i="9"/>
  <c r="G849" i="9" s="1"/>
  <c r="K834" i="9"/>
  <c r="G834" i="9" s="1"/>
  <c r="K826" i="9"/>
  <c r="G826" i="9" s="1"/>
  <c r="K818" i="9"/>
  <c r="G818" i="9" s="1"/>
  <c r="K688" i="9"/>
  <c r="G688" i="9" s="1"/>
  <c r="K684" i="9"/>
  <c r="G684" i="9" s="1"/>
  <c r="K680" i="9"/>
  <c r="G680" i="9" s="1"/>
  <c r="K667" i="9"/>
  <c r="G667" i="9" s="1"/>
  <c r="K663" i="9"/>
  <c r="G663" i="9" s="1"/>
  <c r="K644" i="9"/>
  <c r="K637" i="9"/>
  <c r="G637" i="9" s="1"/>
  <c r="K628" i="9"/>
  <c r="G628" i="9" s="1"/>
  <c r="K608" i="9"/>
  <c r="K601" i="9"/>
  <c r="G601" i="9" s="1"/>
  <c r="K905" i="9"/>
  <c r="G905" i="9" s="1"/>
  <c r="K897" i="9"/>
  <c r="G897" i="9" s="1"/>
  <c r="K886" i="9"/>
  <c r="G886" i="9" s="1"/>
  <c r="K879" i="9"/>
  <c r="G879" i="9" s="1"/>
  <c r="K875" i="9"/>
  <c r="G875" i="9" s="1"/>
  <c r="K867" i="9"/>
  <c r="G867" i="9" s="1"/>
  <c r="K864" i="9"/>
  <c r="G864" i="9" s="1"/>
  <c r="K853" i="9"/>
  <c r="G853" i="9" s="1"/>
  <c r="K845" i="9"/>
  <c r="G845" i="9" s="1"/>
  <c r="K842" i="9"/>
  <c r="G842" i="9" s="1"/>
  <c r="K838" i="9"/>
  <c r="G838" i="9" s="1"/>
  <c r="K830" i="9"/>
  <c r="G830" i="9" s="1"/>
  <c r="K822" i="9"/>
  <c r="G822" i="9" s="1"/>
  <c r="K706" i="9"/>
  <c r="K690" i="9"/>
  <c r="G690" i="9" s="1"/>
  <c r="K686" i="9"/>
  <c r="G686" i="9" s="1"/>
  <c r="K682" i="9"/>
  <c r="G682" i="9" s="1"/>
  <c r="K678" i="9"/>
  <c r="G678" i="9" s="1"/>
  <c r="K669" i="9"/>
  <c r="G669" i="9" s="1"/>
  <c r="K665" i="9"/>
  <c r="G665" i="9" s="1"/>
  <c r="K661" i="9"/>
  <c r="G661" i="9" s="1"/>
  <c r="K639" i="9"/>
  <c r="G639" i="9" s="1"/>
  <c r="K635" i="9"/>
  <c r="G635" i="9" s="1"/>
  <c r="K613" i="9"/>
  <c r="G613" i="9" s="1"/>
  <c r="K611" i="9"/>
  <c r="G611" i="9" s="1"/>
  <c r="K603" i="9"/>
  <c r="G603" i="9" s="1"/>
  <c r="K599" i="9"/>
  <c r="G599" i="9" s="1"/>
  <c r="K892" i="9"/>
  <c r="G892" i="9" s="1"/>
  <c r="K880" i="9"/>
  <c r="G880" i="9" s="1"/>
  <c r="K714" i="9"/>
  <c r="G714" i="9" s="1"/>
  <c r="K698" i="9"/>
  <c r="K695" i="9"/>
  <c r="G695" i="9" s="1"/>
  <c r="K687" i="9"/>
  <c r="G687" i="9" s="1"/>
  <c r="K679" i="9"/>
  <c r="G679" i="9" s="1"/>
  <c r="K666" i="9"/>
  <c r="G666" i="9" s="1"/>
  <c r="K641" i="9"/>
  <c r="G641" i="9" s="1"/>
  <c r="K638" i="9"/>
  <c r="G638" i="9" s="1"/>
  <c r="K627" i="9"/>
  <c r="G627" i="9" s="1"/>
  <c r="K623" i="9"/>
  <c r="G623" i="9" s="1"/>
  <c r="K610" i="9"/>
  <c r="G610" i="9" s="1"/>
  <c r="K602" i="9"/>
  <c r="G602" i="9" s="1"/>
  <c r="K595" i="9"/>
  <c r="K573" i="9"/>
  <c r="G573" i="9" s="1"/>
  <c r="K562" i="9"/>
  <c r="G562" i="9" s="1"/>
  <c r="K559" i="9"/>
  <c r="G559" i="9" s="1"/>
  <c r="K549" i="9"/>
  <c r="G549" i="9" s="1"/>
  <c r="K532" i="9"/>
  <c r="G532" i="9" s="1"/>
  <c r="K530" i="9"/>
  <c r="G530" i="9" s="1"/>
  <c r="K526" i="9"/>
  <c r="G526" i="9" s="1"/>
  <c r="K517" i="9"/>
  <c r="G517" i="9" s="1"/>
  <c r="K507" i="9"/>
  <c r="K504" i="9"/>
  <c r="K494" i="9"/>
  <c r="G494" i="9" s="1"/>
  <c r="K472" i="9"/>
  <c r="G472" i="9" s="1"/>
  <c r="K468" i="9"/>
  <c r="G468" i="9" s="1"/>
  <c r="K456" i="9"/>
  <c r="G456" i="9" s="1"/>
  <c r="K452" i="9"/>
  <c r="G452" i="9" s="1"/>
  <c r="K445" i="9"/>
  <c r="G445" i="9" s="1"/>
  <c r="K929" i="9"/>
  <c r="G929" i="9" s="1"/>
  <c r="K917" i="9"/>
  <c r="G917" i="9" s="1"/>
  <c r="K907" i="9"/>
  <c r="G907" i="9" s="1"/>
  <c r="K903" i="9"/>
  <c r="G903" i="9" s="1"/>
  <c r="K878" i="9"/>
  <c r="G878" i="9" s="1"/>
  <c r="K876" i="9"/>
  <c r="G876" i="9" s="1"/>
  <c r="K859" i="9"/>
  <c r="G859" i="9" s="1"/>
  <c r="K855" i="9"/>
  <c r="G855" i="9" s="1"/>
  <c r="K851" i="9"/>
  <c r="G851" i="9" s="1"/>
  <c r="K847" i="9"/>
  <c r="G847" i="9" s="1"/>
  <c r="K843" i="9"/>
  <c r="G843" i="9" s="1"/>
  <c r="K716" i="9"/>
  <c r="G716" i="9" s="1"/>
  <c r="K708" i="9"/>
  <c r="K703" i="9"/>
  <c r="G703" i="9" s="1"/>
  <c r="K700" i="9"/>
  <c r="G700" i="9" s="1"/>
  <c r="K691" i="9"/>
  <c r="G691" i="9" s="1"/>
  <c r="K683" i="9"/>
  <c r="G683" i="9" s="1"/>
  <c r="K673" i="9"/>
  <c r="G673" i="9" s="1"/>
  <c r="K670" i="9"/>
  <c r="G670" i="9" s="1"/>
  <c r="K662" i="9"/>
  <c r="G662" i="9" s="1"/>
  <c r="K634" i="9"/>
  <c r="G634" i="9" s="1"/>
  <c r="K631" i="9"/>
  <c r="G631" i="9" s="1"/>
  <c r="K625" i="9"/>
  <c r="G625" i="9" s="1"/>
  <c r="K614" i="9"/>
  <c r="G614" i="9" s="1"/>
  <c r="K598" i="9"/>
  <c r="L598" i="9" s="1"/>
  <c r="K593" i="9"/>
  <c r="K581" i="9"/>
  <c r="K575" i="9"/>
  <c r="G575" i="9" s="1"/>
  <c r="K571" i="9"/>
  <c r="G571" i="9" s="1"/>
  <c r="K557" i="9"/>
  <c r="G557" i="9" s="1"/>
  <c r="K528" i="9"/>
  <c r="G528" i="9" s="1"/>
  <c r="K523" i="9"/>
  <c r="K496" i="9"/>
  <c r="G496" i="9" s="1"/>
  <c r="K492" i="9"/>
  <c r="G492" i="9" s="1"/>
  <c r="K483" i="9"/>
  <c r="G483" i="9" s="1"/>
  <c r="K470" i="9"/>
  <c r="G470" i="9" s="1"/>
  <c r="K466" i="9"/>
  <c r="G466" i="9" s="1"/>
  <c r="K454" i="9"/>
  <c r="G454" i="9" s="1"/>
  <c r="K441" i="9"/>
  <c r="G441" i="9" s="1"/>
  <c r="K910" i="9"/>
  <c r="G910" i="9" s="1"/>
  <c r="K696" i="9"/>
  <c r="G696" i="9" s="1"/>
  <c r="K672" i="9"/>
  <c r="G672" i="9" s="1"/>
  <c r="K668" i="9"/>
  <c r="G668" i="9" s="1"/>
  <c r="K664" i="9"/>
  <c r="G664" i="9" s="1"/>
  <c r="K660" i="9"/>
  <c r="K629" i="9"/>
  <c r="G629" i="9" s="1"/>
  <c r="K605" i="9"/>
  <c r="G605" i="9" s="1"/>
  <c r="K600" i="9"/>
  <c r="G600" i="9" s="1"/>
  <c r="K574" i="9"/>
  <c r="G574" i="9" s="1"/>
  <c r="K568" i="9"/>
  <c r="K561" i="9"/>
  <c r="G561" i="9" s="1"/>
  <c r="K546" i="9"/>
  <c r="G546" i="9" s="1"/>
  <c r="K525" i="9"/>
  <c r="G525" i="9" s="1"/>
  <c r="K516" i="9"/>
  <c r="G516" i="9" s="1"/>
  <c r="K499" i="9"/>
  <c r="G499" i="9" s="1"/>
  <c r="K493" i="9"/>
  <c r="G493" i="9" s="1"/>
  <c r="K471" i="9"/>
  <c r="G471" i="9" s="1"/>
  <c r="K461" i="9"/>
  <c r="G461" i="9" s="1"/>
  <c r="K448" i="9"/>
  <c r="K420" i="9"/>
  <c r="G420" i="9" s="1"/>
  <c r="K392" i="9"/>
  <c r="K359" i="9"/>
  <c r="G359" i="9" s="1"/>
  <c r="K346" i="9"/>
  <c r="G346" i="9" s="1"/>
  <c r="K343" i="9"/>
  <c r="G343" i="9" s="1"/>
  <c r="K330" i="9"/>
  <c r="G330" i="9" s="1"/>
  <c r="K327" i="9"/>
  <c r="G327" i="9" s="1"/>
  <c r="K306" i="9"/>
  <c r="G306" i="9" s="1"/>
  <c r="K300" i="9"/>
  <c r="G300" i="9" s="1"/>
  <c r="K295" i="9"/>
  <c r="G295" i="9" s="1"/>
  <c r="K276" i="9"/>
  <c r="G276" i="9" s="1"/>
  <c r="K260" i="9"/>
  <c r="G260" i="9" s="1"/>
  <c r="K251" i="9"/>
  <c r="G251" i="9" s="1"/>
  <c r="K245" i="9"/>
  <c r="K205" i="9"/>
  <c r="G205" i="9" s="1"/>
  <c r="K202" i="9"/>
  <c r="G202" i="9" s="1"/>
  <c r="K198" i="9"/>
  <c r="G198" i="9" s="1"/>
  <c r="K194" i="9"/>
  <c r="G194" i="9" s="1"/>
  <c r="K184" i="9"/>
  <c r="G184" i="9" s="1"/>
  <c r="K176" i="9"/>
  <c r="G176" i="9" s="1"/>
  <c r="K173" i="9"/>
  <c r="G173" i="9" s="1"/>
  <c r="K168" i="9"/>
  <c r="G168" i="9" s="1"/>
  <c r="K139" i="9"/>
  <c r="G139" i="9" s="1"/>
  <c r="K129" i="9"/>
  <c r="G129" i="9" s="1"/>
  <c r="K124" i="9"/>
  <c r="K913" i="9"/>
  <c r="G913" i="9" s="1"/>
  <c r="K869" i="9"/>
  <c r="G869" i="9" s="1"/>
  <c r="K865" i="9"/>
  <c r="G865" i="9" s="1"/>
  <c r="K863" i="9"/>
  <c r="G863" i="9" s="1"/>
  <c r="K836" i="9"/>
  <c r="G836" i="9" s="1"/>
  <c r="K832" i="9"/>
  <c r="G832" i="9" s="1"/>
  <c r="K828" i="9"/>
  <c r="G828" i="9" s="1"/>
  <c r="K824" i="9"/>
  <c r="G824" i="9" s="1"/>
  <c r="K820" i="9"/>
  <c r="G820" i="9" s="1"/>
  <c r="K816" i="9"/>
  <c r="K701" i="9"/>
  <c r="G701" i="9" s="1"/>
  <c r="K699" i="9"/>
  <c r="G699" i="9" s="1"/>
  <c r="K693" i="9"/>
  <c r="G693" i="9" s="1"/>
  <c r="K689" i="9"/>
  <c r="G689" i="9" s="1"/>
  <c r="K685" i="9"/>
  <c r="G685" i="9" s="1"/>
  <c r="K681" i="9"/>
  <c r="G681" i="9" s="1"/>
  <c r="K677" i="9"/>
  <c r="G677" i="9" s="1"/>
  <c r="K675" i="9"/>
  <c r="G675" i="9" s="1"/>
  <c r="K626" i="9"/>
  <c r="G626" i="9" s="1"/>
  <c r="K624" i="9"/>
  <c r="G624" i="9" s="1"/>
  <c r="K622" i="9"/>
  <c r="K570" i="9"/>
  <c r="G570" i="9" s="1"/>
  <c r="K552" i="9"/>
  <c r="G552" i="9" s="1"/>
  <c r="K548" i="9"/>
  <c r="G548" i="9" s="1"/>
  <c r="K544" i="9"/>
  <c r="G544" i="9" s="1"/>
  <c r="K529" i="9"/>
  <c r="G529" i="9" s="1"/>
  <c r="K514" i="9"/>
  <c r="G514" i="9" s="1"/>
  <c r="K497" i="9"/>
  <c r="G497" i="9" s="1"/>
  <c r="K482" i="9"/>
  <c r="G482" i="9" s="1"/>
  <c r="K475" i="9"/>
  <c r="K467" i="9"/>
  <c r="G467" i="9" s="1"/>
  <c r="K459" i="9"/>
  <c r="K453" i="9"/>
  <c r="G453" i="9" s="1"/>
  <c r="K443" i="9"/>
  <c r="G443" i="9" s="1"/>
  <c r="K439" i="9"/>
  <c r="G439" i="9" s="1"/>
  <c r="K418" i="9"/>
  <c r="G418" i="9" s="1"/>
  <c r="K415" i="9"/>
  <c r="K400" i="9"/>
  <c r="K384" i="9"/>
  <c r="K375" i="9"/>
  <c r="K371" i="9"/>
  <c r="G371" i="9" s="1"/>
  <c r="K310" i="9"/>
  <c r="G310" i="9" s="1"/>
  <c r="K288" i="9"/>
  <c r="G288" i="9" s="1"/>
  <c r="K271" i="9"/>
  <c r="G271" i="9" s="1"/>
  <c r="K268" i="9"/>
  <c r="G268" i="9" s="1"/>
  <c r="K255" i="9"/>
  <c r="G255" i="9" s="1"/>
  <c r="K249" i="9"/>
  <c r="G249" i="9" s="1"/>
  <c r="K239" i="9"/>
  <c r="G239" i="9" s="1"/>
  <c r="K200" i="9"/>
  <c r="G200" i="9" s="1"/>
  <c r="K196" i="9"/>
  <c r="G196" i="9" s="1"/>
  <c r="K192" i="9"/>
  <c r="G192" i="9" s="1"/>
  <c r="K160" i="9"/>
  <c r="K152" i="9"/>
  <c r="L152" i="9" s="1"/>
  <c r="K147" i="9"/>
  <c r="K135" i="9"/>
  <c r="G135" i="9" s="1"/>
  <c r="K120" i="9"/>
  <c r="G120" i="9" s="1"/>
  <c r="K899" i="9"/>
  <c r="G899" i="9" s="1"/>
  <c r="K895" i="9"/>
  <c r="G895" i="9" s="1"/>
  <c r="K884" i="9"/>
  <c r="G884" i="9" s="1"/>
  <c r="K527" i="9"/>
  <c r="G527" i="9" s="1"/>
  <c r="K481" i="9"/>
  <c r="G481" i="9" s="1"/>
  <c r="K469" i="9"/>
  <c r="G469" i="9" s="1"/>
  <c r="K449" i="9"/>
  <c r="G449" i="9" s="1"/>
  <c r="K419" i="9"/>
  <c r="G419" i="9" s="1"/>
  <c r="K370" i="9"/>
  <c r="G370" i="9" s="1"/>
  <c r="K366" i="9"/>
  <c r="G366" i="9" s="1"/>
  <c r="K362" i="9"/>
  <c r="G362" i="9" s="1"/>
  <c r="K345" i="9"/>
  <c r="K342" i="9"/>
  <c r="G342" i="9" s="1"/>
  <c r="K325" i="9"/>
  <c r="G325" i="9" s="1"/>
  <c r="K321" i="9"/>
  <c r="G321" i="9" s="1"/>
  <c r="K317" i="9"/>
  <c r="G317" i="9" s="1"/>
  <c r="K299" i="9"/>
  <c r="G299" i="9" s="1"/>
  <c r="K287" i="9"/>
  <c r="G287" i="9" s="1"/>
  <c r="K283" i="9"/>
  <c r="G283" i="9" s="1"/>
  <c r="K270" i="9"/>
  <c r="G270" i="9" s="1"/>
  <c r="K267" i="9"/>
  <c r="G267" i="9" s="1"/>
  <c r="K263" i="9"/>
  <c r="G263" i="9" s="1"/>
  <c r="K254" i="9"/>
  <c r="G254" i="9" s="1"/>
  <c r="K248" i="9"/>
  <c r="K236" i="9"/>
  <c r="G236" i="9" s="1"/>
  <c r="K232" i="9"/>
  <c r="G232" i="9" s="1"/>
  <c r="K228" i="9"/>
  <c r="L228" i="9" s="1"/>
  <c r="K204" i="9"/>
  <c r="K201" i="9"/>
  <c r="G201" i="9" s="1"/>
  <c r="K193" i="9"/>
  <c r="G193" i="9" s="1"/>
  <c r="K165" i="9"/>
  <c r="G165" i="9" s="1"/>
  <c r="K132" i="9"/>
  <c r="G132" i="9" s="1"/>
  <c r="K110" i="9"/>
  <c r="G110" i="9" s="1"/>
  <c r="K106" i="9"/>
  <c r="G106" i="9" s="1"/>
  <c r="K100" i="9"/>
  <c r="G100" i="9" s="1"/>
  <c r="K91" i="9"/>
  <c r="G91" i="9" s="1"/>
  <c r="K87" i="9"/>
  <c r="G87" i="9" s="1"/>
  <c r="K83" i="9"/>
  <c r="G83" i="9" s="1"/>
  <c r="K60" i="9"/>
  <c r="G60" i="9" s="1"/>
  <c r="K45" i="9"/>
  <c r="G45" i="9" s="1"/>
  <c r="K38" i="9"/>
  <c r="G38" i="9" s="1"/>
  <c r="K33" i="9"/>
  <c r="G33" i="9" s="1"/>
  <c r="K30" i="9"/>
  <c r="G30" i="9" s="1"/>
  <c r="K717" i="9"/>
  <c r="G717" i="9" s="1"/>
  <c r="K715" i="9"/>
  <c r="G715" i="9" s="1"/>
  <c r="K713" i="9"/>
  <c r="K640" i="9"/>
  <c r="G640" i="9" s="1"/>
  <c r="K636" i="9"/>
  <c r="G636" i="9" s="1"/>
  <c r="K558" i="9"/>
  <c r="G558" i="9" s="1"/>
  <c r="K547" i="9"/>
  <c r="G547" i="9" s="1"/>
  <c r="K545" i="9"/>
  <c r="G545" i="9" s="1"/>
  <c r="K543" i="9"/>
  <c r="G543" i="9" s="1"/>
  <c r="K519" i="9"/>
  <c r="G519" i="9" s="1"/>
  <c r="K489" i="9"/>
  <c r="K476" i="9"/>
  <c r="G476" i="9" s="1"/>
  <c r="K440" i="9"/>
  <c r="G440" i="9" s="1"/>
  <c r="K372" i="9"/>
  <c r="G372" i="9" s="1"/>
  <c r="K369" i="9"/>
  <c r="G369" i="9" s="1"/>
  <c r="K365" i="9"/>
  <c r="G365" i="9" s="1"/>
  <c r="K361" i="9"/>
  <c r="K358" i="9"/>
  <c r="G358" i="9" s="1"/>
  <c r="K324" i="9"/>
  <c r="G324" i="9" s="1"/>
  <c r="K320" i="9"/>
  <c r="G320" i="9" s="1"/>
  <c r="K316" i="9"/>
  <c r="G316" i="9" s="1"/>
  <c r="K309" i="9"/>
  <c r="G309" i="9" s="1"/>
  <c r="K301" i="9"/>
  <c r="G301" i="9" s="1"/>
  <c r="K298" i="9"/>
  <c r="G298" i="9" s="1"/>
  <c r="K289" i="9"/>
  <c r="G289" i="9" s="1"/>
  <c r="K286" i="9"/>
  <c r="G286" i="9" s="1"/>
  <c r="K282" i="9"/>
  <c r="G282" i="9" s="1"/>
  <c r="K272" i="9"/>
  <c r="G272" i="9" s="1"/>
  <c r="K269" i="9"/>
  <c r="G269" i="9" s="1"/>
  <c r="K266" i="9"/>
  <c r="G266" i="9" s="1"/>
  <c r="K262" i="9"/>
  <c r="G262" i="9" s="1"/>
  <c r="K259" i="9"/>
  <c r="K256" i="9"/>
  <c r="G256" i="9" s="1"/>
  <c r="K250" i="9"/>
  <c r="G250" i="9" s="1"/>
  <c r="K235" i="9"/>
  <c r="G235" i="9" s="1"/>
  <c r="K231" i="9"/>
  <c r="G231" i="9" s="1"/>
  <c r="K195" i="9"/>
  <c r="G195" i="9" s="1"/>
  <c r="K183" i="9"/>
  <c r="K164" i="9"/>
  <c r="G164" i="9" s="1"/>
  <c r="K156" i="9"/>
  <c r="G156" i="9" s="1"/>
  <c r="K131" i="9"/>
  <c r="K128" i="9"/>
  <c r="G128" i="9" s="1"/>
  <c r="K597" i="9"/>
  <c r="G597" i="9" s="1"/>
  <c r="K572" i="9"/>
  <c r="G572" i="9" s="1"/>
  <c r="K462" i="9"/>
  <c r="G462" i="9" s="1"/>
  <c r="K460" i="9"/>
  <c r="G460" i="9" s="1"/>
  <c r="K368" i="9"/>
  <c r="G368" i="9" s="1"/>
  <c r="K364" i="9"/>
  <c r="G364" i="9" s="1"/>
  <c r="K323" i="9"/>
  <c r="G323" i="9" s="1"/>
  <c r="K319" i="9"/>
  <c r="G319" i="9" s="1"/>
  <c r="K315" i="9"/>
  <c r="G315" i="9" s="1"/>
  <c r="K308" i="9"/>
  <c r="K305" i="9"/>
  <c r="G305" i="9" s="1"/>
  <c r="K297" i="9"/>
  <c r="K294" i="9"/>
  <c r="G294" i="9" s="1"/>
  <c r="K285" i="9"/>
  <c r="G285" i="9" s="1"/>
  <c r="K281" i="9"/>
  <c r="G281" i="9" s="1"/>
  <c r="K275" i="9"/>
  <c r="G275" i="9" s="1"/>
  <c r="K265" i="9"/>
  <c r="G265" i="9" s="1"/>
  <c r="K261" i="9"/>
  <c r="G261" i="9" s="1"/>
  <c r="K252" i="9"/>
  <c r="G252" i="9" s="1"/>
  <c r="K238" i="9"/>
  <c r="G238" i="9" s="1"/>
  <c r="K234" i="9"/>
  <c r="G234" i="9" s="1"/>
  <c r="K197" i="9"/>
  <c r="G197" i="9" s="1"/>
  <c r="K189" i="9"/>
  <c r="G189" i="9" s="1"/>
  <c r="K186" i="9"/>
  <c r="G186" i="9" s="1"/>
  <c r="K167" i="9"/>
  <c r="G167" i="9" s="1"/>
  <c r="K163" i="9"/>
  <c r="G163" i="9" s="1"/>
  <c r="K148" i="9"/>
  <c r="G148" i="9" s="1"/>
  <c r="K142" i="9"/>
  <c r="G142" i="9" s="1"/>
  <c r="K138" i="9"/>
  <c r="K134" i="9"/>
  <c r="G134" i="9" s="1"/>
  <c r="K108" i="9"/>
  <c r="G108" i="9" s="1"/>
  <c r="K89" i="9"/>
  <c r="G89" i="9" s="1"/>
  <c r="K81" i="9"/>
  <c r="G81" i="9" s="1"/>
  <c r="K76" i="9"/>
  <c r="G76" i="9" s="1"/>
  <c r="K64" i="9"/>
  <c r="G64" i="9" s="1"/>
  <c r="K24" i="9"/>
  <c r="G24" i="9" s="1"/>
  <c r="K940" i="9"/>
  <c r="G940" i="9" s="1"/>
  <c r="K551" i="9"/>
  <c r="G551" i="9" s="1"/>
  <c r="K515" i="9"/>
  <c r="G515" i="9" s="1"/>
  <c r="K495" i="9"/>
  <c r="G495" i="9" s="1"/>
  <c r="K444" i="9"/>
  <c r="G444" i="9" s="1"/>
  <c r="K367" i="9"/>
  <c r="G367" i="9" s="1"/>
  <c r="K363" i="9"/>
  <c r="G363" i="9" s="1"/>
  <c r="K329" i="9"/>
  <c r="K314" i="9"/>
  <c r="G314" i="9" s="1"/>
  <c r="K280" i="9"/>
  <c r="G280" i="9" s="1"/>
  <c r="K240" i="9"/>
  <c r="G240" i="9" s="1"/>
  <c r="K237" i="9"/>
  <c r="G237" i="9" s="1"/>
  <c r="K233" i="9"/>
  <c r="G233" i="9" s="1"/>
  <c r="K227" i="9"/>
  <c r="K199" i="9"/>
  <c r="G199" i="9" s="1"/>
  <c r="K191" i="9"/>
  <c r="K188" i="9"/>
  <c r="G188" i="9" s="1"/>
  <c r="K175" i="9"/>
  <c r="K172" i="9"/>
  <c r="G172" i="9" s="1"/>
  <c r="K166" i="9"/>
  <c r="G166" i="9" s="1"/>
  <c r="K162" i="9"/>
  <c r="G162" i="9" s="1"/>
  <c r="K133" i="9"/>
  <c r="G133" i="9" s="1"/>
  <c r="K117" i="9"/>
  <c r="G117" i="9" s="1"/>
  <c r="K113" i="9"/>
  <c r="G113" i="9" s="1"/>
  <c r="K107" i="9"/>
  <c r="G107" i="9" s="1"/>
  <c r="K101" i="9"/>
  <c r="G101" i="9" s="1"/>
  <c r="K98" i="9"/>
  <c r="G98" i="9" s="1"/>
  <c r="K94" i="9"/>
  <c r="G94" i="9" s="1"/>
  <c r="K88" i="9"/>
  <c r="G88" i="9" s="1"/>
  <c r="K80" i="9"/>
  <c r="G80" i="9" s="1"/>
  <c r="K78" i="9"/>
  <c r="G78" i="9" s="1"/>
  <c r="K75" i="9"/>
  <c r="G75" i="9" s="1"/>
  <c r="K63" i="9"/>
  <c r="G63" i="9" s="1"/>
  <c r="K61" i="9"/>
  <c r="G61" i="9" s="1"/>
  <c r="K56" i="9"/>
  <c r="G56" i="9" s="1"/>
  <c r="K53" i="9"/>
  <c r="G53" i="9" s="1"/>
  <c r="K46" i="9"/>
  <c r="G46" i="9" s="1"/>
  <c r="K43" i="9"/>
  <c r="G43" i="9" s="1"/>
  <c r="K40" i="9"/>
  <c r="G40" i="9" s="1"/>
  <c r="K26" i="9"/>
  <c r="G26" i="9" s="1"/>
  <c r="K21" i="9"/>
  <c r="K116" i="9"/>
  <c r="G116" i="9" s="1"/>
  <c r="K102" i="9"/>
  <c r="G102" i="9" s="1"/>
  <c r="K583" i="9"/>
  <c r="G583" i="9" s="1"/>
  <c r="K553" i="9"/>
  <c r="G553" i="9" s="1"/>
  <c r="K513" i="9"/>
  <c r="G513" i="9" s="1"/>
  <c r="K491" i="9"/>
  <c r="G491" i="9" s="1"/>
  <c r="K455" i="9"/>
  <c r="G455" i="9" s="1"/>
  <c r="K451" i="9"/>
  <c r="G451" i="9" s="1"/>
  <c r="K417" i="9"/>
  <c r="G417" i="9" s="1"/>
  <c r="K326" i="9"/>
  <c r="G326" i="9" s="1"/>
  <c r="K322" i="9"/>
  <c r="G322" i="9" s="1"/>
  <c r="K318" i="9"/>
  <c r="G318" i="9" s="1"/>
  <c r="K284" i="9"/>
  <c r="G284" i="9" s="1"/>
  <c r="K277" i="9"/>
  <c r="G277" i="9" s="1"/>
  <c r="K264" i="9"/>
  <c r="G264" i="9" s="1"/>
  <c r="K150" i="9"/>
  <c r="K141" i="9"/>
  <c r="G141" i="9" s="1"/>
  <c r="K119" i="9"/>
  <c r="G119" i="9" s="1"/>
  <c r="K115" i="9"/>
  <c r="G115" i="9" s="1"/>
  <c r="K103" i="9"/>
  <c r="G103" i="9" s="1"/>
  <c r="K96" i="9"/>
  <c r="G96" i="9" s="1"/>
  <c r="K73" i="9"/>
  <c r="G73" i="9" s="1"/>
  <c r="K58" i="9"/>
  <c r="G58" i="9" s="1"/>
  <c r="K23" i="9"/>
  <c r="G23" i="9" s="1"/>
  <c r="K114" i="9"/>
  <c r="G114" i="9" s="1"/>
  <c r="K112" i="9"/>
  <c r="G112" i="9" s="1"/>
  <c r="K109" i="9"/>
  <c r="G109" i="9" s="1"/>
  <c r="K105" i="9"/>
  <c r="K99" i="9"/>
  <c r="G99" i="9" s="1"/>
  <c r="K35" i="9"/>
  <c r="G35" i="9" s="1"/>
  <c r="K37" i="9"/>
  <c r="G37" i="9" s="1"/>
  <c r="K19" i="9"/>
  <c r="K20" i="9"/>
  <c r="G20" i="9" s="1"/>
  <c r="K22" i="9"/>
  <c r="G22" i="9" s="1"/>
  <c r="K32" i="9"/>
  <c r="K41" i="9"/>
  <c r="G41" i="9" s="1"/>
  <c r="K42" i="9"/>
  <c r="G42" i="9" s="1"/>
  <c r="K62" i="9"/>
  <c r="G62" i="9" s="1"/>
  <c r="K71" i="9"/>
  <c r="K72" i="9"/>
  <c r="G72" i="9" s="1"/>
  <c r="K74" i="9"/>
  <c r="G74" i="9" s="1"/>
  <c r="K82" i="9"/>
  <c r="G82" i="9" s="1"/>
  <c r="K92" i="9"/>
  <c r="G92" i="9" s="1"/>
  <c r="K93" i="9"/>
  <c r="G93" i="9" s="1"/>
  <c r="K95" i="9"/>
  <c r="G95" i="9" s="1"/>
  <c r="K97" i="9"/>
  <c r="G97" i="9" s="1"/>
  <c r="K86" i="9"/>
  <c r="K90" i="9"/>
  <c r="G90" i="9" s="1"/>
  <c r="K126" i="9"/>
  <c r="G126" i="9" s="1"/>
  <c r="K118" i="9"/>
  <c r="G118" i="9" s="1"/>
  <c r="K136" i="9"/>
  <c r="G136" i="9" s="1"/>
  <c r="H130" i="9"/>
  <c r="K170" i="9"/>
  <c r="G170" i="9" s="1"/>
  <c r="K279" i="9"/>
  <c r="G279" i="9" s="1"/>
  <c r="K376" i="9"/>
  <c r="G376" i="9" s="1"/>
  <c r="H374" i="9"/>
  <c r="K378" i="9"/>
  <c r="G378" i="9" s="1"/>
  <c r="K380" i="9"/>
  <c r="G380" i="9" s="1"/>
  <c r="K382" i="9"/>
  <c r="G382" i="9" s="1"/>
  <c r="K409" i="9"/>
  <c r="I409" i="9"/>
  <c r="J409" i="9" s="1"/>
  <c r="K416" i="9"/>
  <c r="G416" i="9" s="1"/>
  <c r="K582" i="9"/>
  <c r="G582" i="9" s="1"/>
  <c r="H580" i="9"/>
  <c r="H576" i="9" s="1"/>
  <c r="K125" i="9"/>
  <c r="G125" i="9" s="1"/>
  <c r="H123" i="9"/>
  <c r="H137" i="9"/>
  <c r="K140" i="9"/>
  <c r="G140" i="9" s="1"/>
  <c r="K161" i="9"/>
  <c r="G161" i="9" s="1"/>
  <c r="H159" i="9"/>
  <c r="K169" i="9"/>
  <c r="G169" i="9" s="1"/>
  <c r="K171" i="9"/>
  <c r="G171" i="9" s="1"/>
  <c r="K278" i="9"/>
  <c r="G278" i="9" s="1"/>
  <c r="K313" i="9"/>
  <c r="K377" i="9"/>
  <c r="G377" i="9" s="1"/>
  <c r="K379" i="9"/>
  <c r="G379" i="9" s="1"/>
  <c r="K381" i="9"/>
  <c r="G381" i="9" s="1"/>
  <c r="K413" i="9"/>
  <c r="I413" i="9"/>
  <c r="J413" i="9" s="1"/>
  <c r="K550" i="9"/>
  <c r="G550" i="9" s="1"/>
  <c r="K34" i="9"/>
  <c r="G34" i="9" s="1"/>
  <c r="K158" i="9"/>
  <c r="K185" i="9"/>
  <c r="G185" i="9" s="1"/>
  <c r="K187" i="9"/>
  <c r="G187" i="9" s="1"/>
  <c r="L220" i="9"/>
  <c r="H273" i="9"/>
  <c r="H257" i="9" s="1"/>
  <c r="K274" i="9"/>
  <c r="K291" i="9"/>
  <c r="K292" i="9"/>
  <c r="G292" i="9" s="1"/>
  <c r="K293" i="9"/>
  <c r="G293" i="9" s="1"/>
  <c r="K303" i="9"/>
  <c r="K304" i="9"/>
  <c r="G304" i="9" s="1"/>
  <c r="L311" i="9"/>
  <c r="K401" i="9"/>
  <c r="G401" i="9" s="1"/>
  <c r="H399" i="9"/>
  <c r="K402" i="9"/>
  <c r="G402" i="9" s="1"/>
  <c r="K403" i="9"/>
  <c r="G403" i="9" s="1"/>
  <c r="K404" i="9"/>
  <c r="G404" i="9" s="1"/>
  <c r="K405" i="9"/>
  <c r="G405" i="9" s="1"/>
  <c r="K410" i="9"/>
  <c r="I410" i="9"/>
  <c r="J410" i="9" s="1"/>
  <c r="K484" i="9"/>
  <c r="G484" i="9" s="1"/>
  <c r="H477" i="9"/>
  <c r="K485" i="9"/>
  <c r="G485" i="9" s="1"/>
  <c r="K486" i="9"/>
  <c r="G486" i="9" s="1"/>
  <c r="K487" i="9"/>
  <c r="G487" i="9" s="1"/>
  <c r="K127" i="9"/>
  <c r="G127" i="9" s="1"/>
  <c r="K155" i="9"/>
  <c r="H203" i="9"/>
  <c r="K206" i="9"/>
  <c r="G206" i="9" s="1"/>
  <c r="K207" i="9"/>
  <c r="G207" i="9" s="1"/>
  <c r="K208" i="9"/>
  <c r="G208" i="9" s="1"/>
  <c r="K209" i="9"/>
  <c r="G209" i="9" s="1"/>
  <c r="K210" i="9"/>
  <c r="G210" i="9" s="1"/>
  <c r="K211" i="9"/>
  <c r="G211" i="9" s="1"/>
  <c r="K212" i="9"/>
  <c r="G212" i="9" s="1"/>
  <c r="K213" i="9"/>
  <c r="G213" i="9" s="1"/>
  <c r="K214" i="9"/>
  <c r="G214" i="9" s="1"/>
  <c r="K215" i="9"/>
  <c r="G215" i="9" s="1"/>
  <c r="K216" i="9"/>
  <c r="G216" i="9" s="1"/>
  <c r="K217" i="9"/>
  <c r="G217" i="9" s="1"/>
  <c r="K218" i="9"/>
  <c r="G218" i="9" s="1"/>
  <c r="K219" i="9"/>
  <c r="G219" i="9" s="1"/>
  <c r="K230" i="9"/>
  <c r="K347" i="9"/>
  <c r="G347" i="9" s="1"/>
  <c r="K348" i="9"/>
  <c r="G348" i="9" s="1"/>
  <c r="K349" i="9"/>
  <c r="G349" i="9" s="1"/>
  <c r="K350" i="9"/>
  <c r="G350" i="9" s="1"/>
  <c r="K351" i="9"/>
  <c r="G351" i="9" s="1"/>
  <c r="K352" i="9"/>
  <c r="G352" i="9" s="1"/>
  <c r="K353" i="9"/>
  <c r="G353" i="9" s="1"/>
  <c r="K354" i="9"/>
  <c r="G354" i="9" s="1"/>
  <c r="K355" i="9"/>
  <c r="G355" i="9" s="1"/>
  <c r="K356" i="9"/>
  <c r="G356" i="9" s="1"/>
  <c r="K357" i="9"/>
  <c r="G357" i="9" s="1"/>
  <c r="K393" i="9"/>
  <c r="G393" i="9" s="1"/>
  <c r="H391" i="9"/>
  <c r="K394" i="9"/>
  <c r="G394" i="9" s="1"/>
  <c r="K395" i="9"/>
  <c r="G395" i="9" s="1"/>
  <c r="K396" i="9"/>
  <c r="G396" i="9" s="1"/>
  <c r="K397" i="9"/>
  <c r="G397" i="9" s="1"/>
  <c r="K398" i="9"/>
  <c r="G398" i="9" s="1"/>
  <c r="K411" i="9"/>
  <c r="I411" i="9"/>
  <c r="J411" i="9" s="1"/>
  <c r="K421" i="9"/>
  <c r="G421" i="9" s="1"/>
  <c r="K423" i="9"/>
  <c r="G423" i="9" s="1"/>
  <c r="K424" i="9"/>
  <c r="G424" i="9" s="1"/>
  <c r="K425" i="9"/>
  <c r="G425" i="9" s="1"/>
  <c r="K429" i="9"/>
  <c r="G429" i="9" s="1"/>
  <c r="K518" i="9"/>
  <c r="G518" i="9" s="1"/>
  <c r="K520" i="9"/>
  <c r="G520" i="9" s="1"/>
  <c r="K521" i="9"/>
  <c r="G521" i="9" s="1"/>
  <c r="K121" i="9"/>
  <c r="G121" i="9" s="1"/>
  <c r="K122" i="9"/>
  <c r="G122" i="9" s="1"/>
  <c r="H174" i="9"/>
  <c r="K177" i="9"/>
  <c r="G177" i="9" s="1"/>
  <c r="K178" i="9"/>
  <c r="G178" i="9" s="1"/>
  <c r="K179" i="9"/>
  <c r="G179" i="9" s="1"/>
  <c r="K180" i="9"/>
  <c r="G180" i="9" s="1"/>
  <c r="I224" i="9"/>
  <c r="J224" i="9" s="1"/>
  <c r="K224" i="9"/>
  <c r="K331" i="9"/>
  <c r="G331" i="9" s="1"/>
  <c r="K332" i="9"/>
  <c r="G332" i="9" s="1"/>
  <c r="K333" i="9"/>
  <c r="G333" i="9" s="1"/>
  <c r="K334" i="9"/>
  <c r="G334" i="9" s="1"/>
  <c r="K335" i="9"/>
  <c r="G335" i="9" s="1"/>
  <c r="K336" i="9"/>
  <c r="G336" i="9" s="1"/>
  <c r="K337" i="9"/>
  <c r="G337" i="9" s="1"/>
  <c r="K338" i="9"/>
  <c r="G338" i="9" s="1"/>
  <c r="K339" i="9"/>
  <c r="G339" i="9" s="1"/>
  <c r="K340" i="9"/>
  <c r="G340" i="9" s="1"/>
  <c r="K341" i="9"/>
  <c r="G341" i="9" s="1"/>
  <c r="K385" i="9"/>
  <c r="G385" i="9" s="1"/>
  <c r="H383" i="9"/>
  <c r="K386" i="9"/>
  <c r="G386" i="9" s="1"/>
  <c r="K387" i="9"/>
  <c r="G387" i="9" s="1"/>
  <c r="K388" i="9"/>
  <c r="G388" i="9" s="1"/>
  <c r="K389" i="9"/>
  <c r="G389" i="9" s="1"/>
  <c r="K390" i="9"/>
  <c r="G390" i="9" s="1"/>
  <c r="K408" i="9"/>
  <c r="I408" i="9"/>
  <c r="J408" i="9" s="1"/>
  <c r="K412" i="9"/>
  <c r="I412" i="9"/>
  <c r="J412" i="9" s="1"/>
  <c r="K505" i="9"/>
  <c r="G505" i="9" s="1"/>
  <c r="H503" i="9"/>
  <c r="K616" i="9"/>
  <c r="K617" i="9"/>
  <c r="G617" i="9" s="1"/>
  <c r="K900" i="9"/>
  <c r="G900" i="9" s="1"/>
  <c r="H815" i="9"/>
  <c r="H718" i="9" s="1"/>
  <c r="K901" i="9"/>
  <c r="G901" i="9" s="1"/>
  <c r="K430" i="9"/>
  <c r="G430" i="9" s="1"/>
  <c r="K431" i="9"/>
  <c r="G431" i="9" s="1"/>
  <c r="K432" i="9"/>
  <c r="G432" i="9" s="1"/>
  <c r="K433" i="9"/>
  <c r="G433" i="9" s="1"/>
  <c r="K434" i="9"/>
  <c r="G434" i="9" s="1"/>
  <c r="K435" i="9"/>
  <c r="G435" i="9" s="1"/>
  <c r="K436" i="9"/>
  <c r="G436" i="9" s="1"/>
  <c r="K437" i="9"/>
  <c r="G437" i="9" s="1"/>
  <c r="K438" i="9"/>
  <c r="G438" i="9" s="1"/>
  <c r="K442" i="9"/>
  <c r="G442" i="9" s="1"/>
  <c r="K446" i="9"/>
  <c r="G446" i="9" s="1"/>
  <c r="H473" i="9"/>
  <c r="K478" i="9"/>
  <c r="K479" i="9"/>
  <c r="G479" i="9" s="1"/>
  <c r="K480" i="9"/>
  <c r="G480" i="9" s="1"/>
  <c r="K508" i="9"/>
  <c r="G508" i="9" s="1"/>
  <c r="H506" i="9"/>
  <c r="K509" i="9"/>
  <c r="G509" i="9" s="1"/>
  <c r="K510" i="9"/>
  <c r="G510" i="9" s="1"/>
  <c r="K511" i="9"/>
  <c r="G511" i="9" s="1"/>
  <c r="K512" i="9"/>
  <c r="G512" i="9" s="1"/>
  <c r="K535" i="9"/>
  <c r="K536" i="9"/>
  <c r="G536" i="9" s="1"/>
  <c r="K537" i="9"/>
  <c r="G537" i="9" s="1"/>
  <c r="K542" i="9"/>
  <c r="G542" i="9" s="1"/>
  <c r="K555" i="9"/>
  <c r="K565" i="9"/>
  <c r="K566" i="9"/>
  <c r="G566" i="9" s="1"/>
  <c r="K676" i="9"/>
  <c r="G676" i="9" s="1"/>
  <c r="K694" i="9"/>
  <c r="G694" i="9" s="1"/>
  <c r="K702" i="9"/>
  <c r="G702" i="9" s="1"/>
  <c r="H697" i="9"/>
  <c r="K710" i="9"/>
  <c r="K711" i="9"/>
  <c r="G711" i="9" s="1"/>
  <c r="K914" i="9"/>
  <c r="G914" i="9" s="1"/>
  <c r="K464" i="9"/>
  <c r="K560" i="9"/>
  <c r="G560" i="9" s="1"/>
  <c r="K630" i="9"/>
  <c r="G630" i="9" s="1"/>
  <c r="K911" i="9"/>
  <c r="G911" i="9" s="1"/>
  <c r="I924" i="9"/>
  <c r="J924" i="9" s="1"/>
  <c r="K924" i="9"/>
  <c r="K632" i="9"/>
  <c r="G632" i="9" s="1"/>
  <c r="K633" i="9"/>
  <c r="G633" i="9" s="1"/>
  <c r="K671" i="9"/>
  <c r="G671" i="9" s="1"/>
  <c r="K674" i="9"/>
  <c r="G674" i="9" s="1"/>
  <c r="K692" i="9"/>
  <c r="G692" i="9" s="1"/>
  <c r="K591" i="9"/>
  <c r="I591" i="9"/>
  <c r="J591" i="9" s="1"/>
  <c r="K596" i="9"/>
  <c r="G596" i="9" s="1"/>
  <c r="K898" i="9"/>
  <c r="G898" i="9" s="1"/>
  <c r="K912" i="9"/>
  <c r="G912" i="9" s="1"/>
  <c r="K871" i="9"/>
  <c r="G871" i="9" s="1"/>
  <c r="K872" i="9"/>
  <c r="G872" i="9" s="1"/>
  <c r="K882" i="9"/>
  <c r="G882" i="9" s="1"/>
  <c r="K883" i="9"/>
  <c r="G883" i="9" s="1"/>
  <c r="K920" i="9"/>
  <c r="G920" i="9" s="1"/>
  <c r="K925" i="9"/>
  <c r="T55" i="28"/>
  <c r="K930" i="9"/>
  <c r="G930" i="9" s="1"/>
  <c r="H84" i="9" l="1"/>
  <c r="G555" i="9"/>
  <c r="K554" i="9"/>
  <c r="G535" i="9"/>
  <c r="G230" i="9"/>
  <c r="K229" i="9"/>
  <c r="G155" i="9"/>
  <c r="K154" i="9"/>
  <c r="G291" i="9"/>
  <c r="K290" i="9"/>
  <c r="K130" i="9"/>
  <c r="G131" i="9"/>
  <c r="K360" i="9"/>
  <c r="G361" i="9"/>
  <c r="K203" i="9"/>
  <c r="G204" i="9"/>
  <c r="G248" i="9"/>
  <c r="K246" i="9"/>
  <c r="K344" i="9"/>
  <c r="G345" i="9"/>
  <c r="K159" i="9"/>
  <c r="G160" i="9"/>
  <c r="K374" i="9"/>
  <c r="G375" i="9"/>
  <c r="K458" i="9"/>
  <c r="G459" i="9"/>
  <c r="K123" i="9"/>
  <c r="G124" i="9"/>
  <c r="K522" i="9"/>
  <c r="G523" i="9"/>
  <c r="K594" i="9"/>
  <c r="G595" i="9"/>
  <c r="K705" i="9"/>
  <c r="G706" i="9"/>
  <c r="H25" i="26"/>
  <c r="H538" i="9"/>
  <c r="G937" i="9"/>
  <c r="K936" i="9"/>
  <c r="K931" i="9" s="1"/>
  <c r="H26" i="26"/>
  <c r="H539" i="9"/>
  <c r="K539" i="9" s="1"/>
  <c r="G539" i="9" s="1"/>
  <c r="G710" i="9"/>
  <c r="K709" i="9"/>
  <c r="G478" i="9"/>
  <c r="K477" i="9"/>
  <c r="G303" i="9"/>
  <c r="K302" i="9"/>
  <c r="G274" i="9"/>
  <c r="K273" i="9"/>
  <c r="H373" i="9"/>
  <c r="K174" i="9"/>
  <c r="G175" i="9"/>
  <c r="G227" i="9"/>
  <c r="K226" i="9"/>
  <c r="K220" i="9" s="1"/>
  <c r="G308" i="9"/>
  <c r="K307" i="9"/>
  <c r="K258" i="9"/>
  <c r="G259" i="9"/>
  <c r="G384" i="9"/>
  <c r="K383" i="9"/>
  <c r="G448" i="9"/>
  <c r="K447" i="9"/>
  <c r="K580" i="9"/>
  <c r="K576" i="9" s="1"/>
  <c r="G581" i="9"/>
  <c r="H27" i="26"/>
  <c r="H540" i="9"/>
  <c r="K540" i="9" s="1"/>
  <c r="G540" i="9" s="1"/>
  <c r="H24" i="26"/>
  <c r="H428" i="9"/>
  <c r="K428" i="9" s="1"/>
  <c r="G428" i="9" s="1"/>
  <c r="G464" i="9"/>
  <c r="K463" i="9"/>
  <c r="G616" i="9"/>
  <c r="K615" i="9"/>
  <c r="G158" i="9"/>
  <c r="K157" i="9"/>
  <c r="G313" i="9"/>
  <c r="K312" i="9"/>
  <c r="G86" i="9"/>
  <c r="K85" i="9"/>
  <c r="G19" i="9"/>
  <c r="K18" i="9"/>
  <c r="G105" i="9"/>
  <c r="K104" i="9"/>
  <c r="G150" i="9"/>
  <c r="K149" i="9"/>
  <c r="G138" i="9"/>
  <c r="K137" i="9"/>
  <c r="K488" i="9"/>
  <c r="G489" i="9"/>
  <c r="K712" i="9"/>
  <c r="G713" i="9"/>
  <c r="K146" i="9"/>
  <c r="G147" i="9"/>
  <c r="K399" i="9"/>
  <c r="G400" i="9"/>
  <c r="G475" i="9"/>
  <c r="K474" i="9"/>
  <c r="G816" i="9"/>
  <c r="K815" i="9"/>
  <c r="K718" i="9" s="1"/>
  <c r="G568" i="9"/>
  <c r="K567" i="9"/>
  <c r="G593" i="9"/>
  <c r="K592" i="9"/>
  <c r="K584" i="9" s="1"/>
  <c r="K503" i="9"/>
  <c r="G504" i="9"/>
  <c r="K643" i="9"/>
  <c r="G644" i="9"/>
  <c r="H21" i="26"/>
  <c r="H422" i="9"/>
  <c r="H28" i="26"/>
  <c r="H541" i="9"/>
  <c r="K541" i="9" s="1"/>
  <c r="G541" i="9" s="1"/>
  <c r="G565" i="9"/>
  <c r="K564" i="9"/>
  <c r="K563" i="9" s="1"/>
  <c r="H500" i="9"/>
  <c r="G71" i="9"/>
  <c r="K70" i="9"/>
  <c r="G32" i="9"/>
  <c r="K31" i="9"/>
  <c r="G191" i="9"/>
  <c r="K190" i="9"/>
  <c r="K328" i="9"/>
  <c r="G329" i="9"/>
  <c r="G297" i="9"/>
  <c r="K296" i="9"/>
  <c r="G183" i="9"/>
  <c r="K182" i="9"/>
  <c r="G415" i="9"/>
  <c r="G622" i="9"/>
  <c r="K621" i="9"/>
  <c r="K618" i="9" s="1"/>
  <c r="K244" i="9"/>
  <c r="K241" i="9" s="1"/>
  <c r="G245" i="9"/>
  <c r="K391" i="9"/>
  <c r="G392" i="9"/>
  <c r="G660" i="9"/>
  <c r="K659" i="9"/>
  <c r="G708" i="9"/>
  <c r="K707" i="9"/>
  <c r="G507" i="9"/>
  <c r="K506" i="9"/>
  <c r="G698" i="9"/>
  <c r="K697" i="9"/>
  <c r="K606" i="9"/>
  <c r="G608" i="9"/>
  <c r="H23" i="26"/>
  <c r="H427" i="9"/>
  <c r="K427" i="9" s="1"/>
  <c r="G427" i="9" s="1"/>
  <c r="G927" i="9"/>
  <c r="K926" i="9"/>
  <c r="K921" i="9" s="1"/>
  <c r="H22" i="26"/>
  <c r="H426" i="9"/>
  <c r="K426" i="9" s="1"/>
  <c r="G426" i="9" s="1"/>
  <c r="G55" i="9"/>
  <c r="K54" i="9"/>
  <c r="G48" i="9"/>
  <c r="K47" i="9"/>
  <c r="L957" i="9"/>
  <c r="L963" i="9" s="1"/>
  <c r="L962" i="9" s="1"/>
  <c r="L956" i="9"/>
  <c r="K473" i="9" l="1"/>
  <c r="K422" i="9"/>
  <c r="H414" i="9"/>
  <c r="H406" i="9" s="1"/>
  <c r="K17" i="9"/>
  <c r="K311" i="9"/>
  <c r="K257" i="9"/>
  <c r="K538" i="9"/>
  <c r="H534" i="9"/>
  <c r="H533" i="9" s="1"/>
  <c r="K151" i="9"/>
  <c r="K500" i="9"/>
  <c r="K143" i="9"/>
  <c r="K373" i="9"/>
  <c r="K84" i="9"/>
  <c r="K181" i="9"/>
  <c r="K642" i="9"/>
  <c r="K704" i="9"/>
  <c r="K457" i="9"/>
  <c r="K944" i="9" l="1"/>
  <c r="G538" i="9"/>
  <c r="K534" i="9"/>
  <c r="K533" i="9" s="1"/>
  <c r="H944" i="9"/>
  <c r="G422" i="9"/>
  <c r="K414" i="9"/>
  <c r="K406" i="9" s="1"/>
  <c r="K955" i="9" l="1"/>
  <c r="K957" i="9" s="1"/>
  <c r="K94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Лебедев</author>
  </authors>
  <commentList>
    <comment ref="K73" authorId="0" shapeId="0" xr:uid="{00000000-0006-0000-0000-000001000000}">
      <text>
        <r>
          <rPr>
            <b/>
            <sz val="8"/>
            <color indexed="81"/>
            <rFont val="Tahoma"/>
            <family val="2"/>
            <charset val="204"/>
          </rPr>
          <t>Лебедев:</t>
        </r>
        <r>
          <rPr>
            <sz val="8"/>
            <color indexed="81"/>
            <rFont val="Tahoma"/>
            <family val="2"/>
            <charset val="204"/>
          </rPr>
          <t xml:space="preserve">
было: =H23</t>
        </r>
      </text>
    </comment>
    <comment ref="L73" authorId="0" shapeId="0" xr:uid="{00000000-0006-0000-0000-000002000000}">
      <text>
        <r>
          <rPr>
            <b/>
            <sz val="8"/>
            <color indexed="81"/>
            <rFont val="Tahoma"/>
            <family val="2"/>
            <charset val="204"/>
          </rPr>
          <t>Лебедев:</t>
        </r>
        <r>
          <rPr>
            <sz val="8"/>
            <color indexed="81"/>
            <rFont val="Tahoma"/>
            <family val="2"/>
            <charset val="204"/>
          </rPr>
          <t xml:space="preserve">
было: =H23</t>
        </r>
      </text>
    </comment>
    <comment ref="B943" authorId="0" shapeId="0" xr:uid="{00000000-0006-0000-0000-000003000000}">
      <text>
        <r>
          <rPr>
            <b/>
            <sz val="8"/>
            <color indexed="81"/>
            <rFont val="Tahoma"/>
            <family val="2"/>
            <charset val="204"/>
          </rPr>
          <t>Лебедев:</t>
        </r>
        <r>
          <rPr>
            <sz val="8"/>
            <color indexed="81"/>
            <rFont val="Tahoma"/>
            <family val="2"/>
            <charset val="204"/>
          </rPr>
          <t xml:space="preserve">
Сводный сметный расчет</t>
        </r>
      </text>
    </comment>
  </commentList>
</comments>
</file>

<file path=xl/sharedStrings.xml><?xml version="1.0" encoding="utf-8"?>
<sst xmlns="http://schemas.openxmlformats.org/spreadsheetml/2006/main" count="5878" uniqueCount="2015">
  <si>
    <t>Монтаж.Трубы стальные бесшовные наружный диаметр 57х5 мм</t>
  </si>
  <si>
    <t>Монтаж.Трубы стальные бесшовные наружный диаметр 89х6,0 мм</t>
  </si>
  <si>
    <t>Контроль стыков.. Трубопровод, диаметр, мм 89</t>
  </si>
  <si>
    <t xml:space="preserve">Контроль стыков. Трубопровод, диаметр,159 мм Рентгенографический контроль. </t>
  </si>
  <si>
    <t>Нанесение весьма усиленной антикоррозионной изоляции полимерными липкими лентами стальных трубопроводов диаметром 159 мм</t>
  </si>
  <si>
    <t>02-01-24</t>
  </si>
  <si>
    <t>ТРУБОПРОВОД НА ФАКЕЛ.</t>
  </si>
  <si>
    <t>Кран шаровой фланцевый, с ручным управлениям, с ответными фланцами и крепежными изделиями Ду 80мм,Ру</t>
  </si>
  <si>
    <t>Монтаж крана. Кран шаровой фланцевый, с ручным управлениям, с ответными фланцами и крепежными изделиями Ду 50мм,Ру</t>
  </si>
  <si>
    <t>Монтаж крана. Кран шаровой фланцевый, с ручным управлениям, с ответными фланцами и крепежными изделиями Ду 80мм,Ру</t>
  </si>
  <si>
    <t>Монтаж крана.Кран шаровой фланцевый, с ручным управлениям, с ответными фланцами и крепежными изделиями Ду 100мм,Ру</t>
  </si>
  <si>
    <t>Смета</t>
  </si>
  <si>
    <t>'02-01</t>
  </si>
  <si>
    <t>'02-01-01</t>
  </si>
  <si>
    <t>'02-01-02</t>
  </si>
  <si>
    <t>'02-01-03</t>
  </si>
  <si>
    <t>'02-01-04</t>
  </si>
  <si>
    <t>'02-01-05</t>
  </si>
  <si>
    <t>'02-01-06</t>
  </si>
  <si>
    <t>'02-01-07</t>
  </si>
  <si>
    <t>'02-01-08</t>
  </si>
  <si>
    <t>'02-01-09</t>
  </si>
  <si>
    <t>'02-01-10</t>
  </si>
  <si>
    <t>'02-01-11</t>
  </si>
  <si>
    <t>'02-01-12</t>
  </si>
  <si>
    <t>'02-01-13</t>
  </si>
  <si>
    <t>'02-01-14</t>
  </si>
  <si>
    <t>'02-01-15</t>
  </si>
  <si>
    <t>'02-01-16</t>
  </si>
  <si>
    <t>'02-01-17</t>
  </si>
  <si>
    <t>'02-01-18</t>
  </si>
  <si>
    <t>'02-01-19</t>
  </si>
  <si>
    <t>'02-01-20</t>
  </si>
  <si>
    <t>'02-01-21</t>
  </si>
  <si>
    <t>'02-01-22</t>
  </si>
  <si>
    <t>'02-01-23</t>
  </si>
  <si>
    <t>'02-01-24</t>
  </si>
  <si>
    <t>'02-01-25</t>
  </si>
  <si>
    <t>'02-01-26</t>
  </si>
  <si>
    <t>'02-01-27</t>
  </si>
  <si>
    <t>'02-01-28</t>
  </si>
  <si>
    <t>'02-01-29</t>
  </si>
  <si>
    <t>'02-01-30</t>
  </si>
  <si>
    <t>'02-01-31</t>
  </si>
  <si>
    <t>'02-01-32</t>
  </si>
  <si>
    <t>'02-01-33</t>
  </si>
  <si>
    <t>'02-02-01</t>
  </si>
  <si>
    <t>'02-02-02</t>
  </si>
  <si>
    <t>'02-03-01</t>
  </si>
  <si>
    <t>7_1</t>
  </si>
  <si>
    <t>7_2</t>
  </si>
  <si>
    <t>7_3</t>
  </si>
  <si>
    <t>а</t>
  </si>
  <si>
    <t>б</t>
  </si>
  <si>
    <t>в</t>
  </si>
  <si>
    <t>г</t>
  </si>
  <si>
    <t>(пусто)</t>
  </si>
  <si>
    <t>(несколько элементов)</t>
  </si>
  <si>
    <t>база /1,0997 за ед.</t>
  </si>
  <si>
    <t>7_4</t>
  </si>
  <si>
    <t>цена база за ед.</t>
  </si>
  <si>
    <t>Всего база</t>
  </si>
  <si>
    <t>Тек. стоимость руб. без НДС</t>
  </si>
  <si>
    <t>ПРАЙС (откуда цена)</t>
  </si>
  <si>
    <t>Выборка</t>
  </si>
  <si>
    <t>Клапан обратный поворотный, из стали 09Г2С , с ответными фланцами и кркпежными изделиями ПТ4451-300-05 Ду 300мм,РуКлапан обратный поворотный, из стали 09Г2С , с ответными фланцами и кркпежными изделиями ПТ4451-300-05 Ду 300мм,Ру</t>
  </si>
  <si>
    <t>Стационарное отсечное устройство под приварку СОУ 300х16-СвШп, Ду-300мм,Ру-1,6МПа</t>
  </si>
  <si>
    <t>Кран шаровой фланцевый с электроприводом АUМА во взрывозащищенном испонении, с ответными фланцами и крепежными изделиями Ду 200мм, Ру1,6МПа</t>
  </si>
  <si>
    <t>Кран шаровой фланцевый с электроприводом АUМА во взрывозащищенном испонении, с ответными фланцами и крепежными изделиями Ду 300мм, Ру1,6МПа</t>
  </si>
  <si>
    <t>Кран шаровой фланцевый, с ручным управлением, с ответными фланцами и крепежными изделиями Ду 300мм,Ру</t>
  </si>
  <si>
    <t>Шкаф утепленный (600х600х1400)</t>
  </si>
  <si>
    <t>Монтаж клапана ПТ44151-300-05 на условное давление до 4 МПа. Диаметр условного прохода, мм 300</t>
  </si>
  <si>
    <t xml:space="preserve">Монтаж отсечного устройства СОУ 300х16-СвШп приварного </t>
  </si>
  <si>
    <t xml:space="preserve">Монтаж крана шарового фланцевого с электрическим приводом </t>
  </si>
  <si>
    <t>Монтаж кранав шарового фланцевого с ручным приводом</t>
  </si>
  <si>
    <t>Монтаж шкафа, масса до 100 кг</t>
  </si>
  <si>
    <t>Монтаж предохранителя. Предохранитель огневой в комплекте с ответными фланцами и крепежными изделиями ПО-100 УХЛ Ду 100мм</t>
  </si>
  <si>
    <t>Монтаж фильтра. Фильтр сетчатый У - образный, ФС 100ХЛ 16-0,63 УХЛ, Ду 100мм, Ру-1,6МПа</t>
  </si>
  <si>
    <t>Монтаж задвижки.Задвижка клиновая с выдвижным шпинделем фланцевая из стали 20ГЛ с ручным управлением, с ответными фланцами и крепежными изделиями ЗКЛ2 50-16ХЛ1 (30лс41нж1) Ду 50мм, Ру1,6МПа</t>
  </si>
  <si>
    <t>Фильтр сетчатый У - образный, ФС 100ХЛ 16-0,63 УХЛ, Ду 100мм, Ру-1,6МПа</t>
  </si>
  <si>
    <t>Монтаж задвижки. Задвижка клиновая с выдвижным шпинделем фланцевая из стали 20ГЛ с ручным управлением, с ответными фланцами и крепежными изделиями ЗКЛ2 80-16ХЛ1 (30лс41нж1) Ду 80мм, Ру1,6МПа</t>
  </si>
  <si>
    <t>СТРОИТЕЛЬНЫЕ РАБОТЫ ОСНОВАНИЯ ЕМКОСТИ ДРЕНАЖНОЙ, V-8м3 (гп п.5) И ЕМКОСТИ КОНДЕНСАТА, V-63м3 (гп пп.6.1, 6.2). УСТАНОВКА ПРЕДВАРИТЕЛЬНОЙ ПОДГОТОВКИ ГАЗА. СЕТИ ИНЖЕНЕРНЫЕ</t>
  </si>
  <si>
    <t>02-01-07</t>
  </si>
  <si>
    <t>ОСНОВАНИЕ ЕМКОСТИ ОЕ2 V-63м3 -2ШТ.</t>
  </si>
  <si>
    <t>Разработка грунта в отвал экскаваторами с ковшом вместимостью 0,5 (0,5-0,63) м3, группа грунтов 2</t>
  </si>
  <si>
    <t>Разработка грунта вручную в траншеях глубиной до 2 м без креплений с откосами, группа грунтов 2. Доработка вручную, зачистка дна и стенок с выкидкой грунта в котлованах и траншеях</t>
  </si>
  <si>
    <t>Погружение дизель-молотом  стальных свай шпунтового ряда массой 1 м до 70 кг, длиной до 8 м в грунты группы 1</t>
  </si>
  <si>
    <t>Трубы стальные электросварные прямошовны, наружный диаметр 273х8 мм из стали 09Г2С</t>
  </si>
  <si>
    <t>Стоимость отдельных конструктивных элементов зданий и сооружений  средняя масса сборочной единицы до 0,5 т из стали С345-1(лист 8)</t>
  </si>
  <si>
    <t>Монтаж лотков, решеток, затворов из полосовой и тонколистовой стали.Монтаж опорной пластины. Изготовление опорной пластины</t>
  </si>
  <si>
    <t>Конструкции стальные индивидуальные листовые сварные из стали толщиной 3-10 мм, массой до 0.1 т из стали С345-1(лист 10)</t>
  </si>
  <si>
    <t>02-01-08</t>
  </si>
  <si>
    <t>ПРИОБРЕТЕНИЕ И МОНТАЖ ЕМКОСТИ ДРЕНАЖНОЙ, V-8 м3 (ГП П.5). СЕТИ ИНЖЕНЕРНЫЕ</t>
  </si>
  <si>
    <t>Муфта концевая термоусаживаемая</t>
  </si>
  <si>
    <t>Сборные кабельные конструкции</t>
  </si>
  <si>
    <t>Трубы стальные сварные водогазопроводные с резьбой черные легкие (неоцинкованные) диаметр условного прохода 25 мм; 32 мм; 50 мм</t>
  </si>
  <si>
    <t>Лотоки  монтажные</t>
  </si>
  <si>
    <t>Крышка лотка прямого,Профиль монтажный К241 ХЛ1, L 2000мм,Муфта трубная МТ32 У2,5Кабельная стяжка из нейлона</t>
  </si>
  <si>
    <t>02-01-32</t>
  </si>
  <si>
    <t>Лот №ННГ11.1310.1. «Установка предварительной подготовки газа Верх-Тарского нефтяного месторождения»</t>
  </si>
  <si>
    <t>фильтр</t>
  </si>
  <si>
    <t>УСТРОЙСТВО НАВЕСА ПЛОЩАДКИ ТЕПЛООБМЕННО-СЕПАРАЦИОННЫХ БЛОКОВ</t>
  </si>
  <si>
    <t>УСТРОЙСТВО ОСНОВАНИЯ ПЛОЩАДКИ ТЕПЛООБМЕННО-СЕПАРАЦИОННЫХ БЛОКОВ</t>
  </si>
  <si>
    <t>УСТРОЙСТВО МОНОЛИТНОЙ ПЛОЩАДКИ ТЕПЛООБМЕННО-СЕПАРАЦИОННЫХ БЛОКОВ</t>
  </si>
  <si>
    <t>ПЛОЩАДКА ОБОРДЮРНАЯ БЕТОНОМ</t>
  </si>
  <si>
    <t>8.2.</t>
  </si>
  <si>
    <t>8.2.1.</t>
  </si>
  <si>
    <t>ПРИОБРЕТЕНИЕ И МОНТАЖ ЕМКОСТИ КОНДЕНСАТА, V-63 м3 (ГП ПП. 6.1, 6.2). СЕТИ ИНЖЕНЕРНЫЕ (2 шт.)</t>
  </si>
  <si>
    <t>9.2.1.</t>
  </si>
  <si>
    <t>ТРУБОПРОВОД СБРОСА ГАЗА С ПРЕДОХРАНИТЕЛЬНОГО КЛАПАНА</t>
  </si>
  <si>
    <t>Устроиство дорожных покрытий из сборных железобетонных плит прямоугольных площадью свыше 10,5 м2.Стоимость плит ПДН (86 шт.)</t>
  </si>
  <si>
    <t>27.2.4.</t>
  </si>
  <si>
    <t>27.2.5.</t>
  </si>
  <si>
    <t>27.2.6.</t>
  </si>
  <si>
    <t>27.2.7.</t>
  </si>
  <si>
    <t>27.2.8.</t>
  </si>
  <si>
    <t>27.2.10.</t>
  </si>
  <si>
    <t>27.2.2.</t>
  </si>
  <si>
    <t>20.1.7.</t>
  </si>
  <si>
    <t>20.1.8.</t>
  </si>
  <si>
    <t>Кабель силовой с медной жилой, круглый, пониженной горючести ВВГзнг-0,66 3х2,5</t>
  </si>
  <si>
    <t>Кабель силовой с медной жилой, круглый, пониженной горючести ВВГзнг-0,66 4х2,5</t>
  </si>
  <si>
    <t xml:space="preserve">Монтаж.Коробка (ящик) с зажимами для кабелей и проводов сечением до 6 мм2. Коробка соединительная взрывозащищенная (2ЕХЕIIТ5) КЗП2.1-25/10-(ВК-12)х2(А)-(ВК- 12)х2(С)-В1,5 </t>
  </si>
  <si>
    <t>Монтаж. Коробка для подключения греющих кабелей, до 4 зажимов (КЗГП-ВЭЛ-2.2-25/3 .)и  Коробка  (2ЕХЕIIТ5) КЗП2.1-28/10-(ВК-25накл)х1(А)- (ВК-12)х1(В)-(ВК-12)х2(С)-В1,5</t>
  </si>
  <si>
    <t>Кабель силовой с медной жилой, круглый, пониженной горючести ВВГзнг-0,66 5х2,5</t>
  </si>
  <si>
    <t>Кабель силовой с медной жилой, круглый, пониженной горючести ВВГзнг-0,66 5х4</t>
  </si>
  <si>
    <t>Муфты, проволока,  профиль зетовый, L 2000м К241ХЛ1</t>
  </si>
  <si>
    <t>02-01-31</t>
  </si>
  <si>
    <t>ПРИОБРЕТЕНИЕ И МОНТАЖ ЭЛЕКТРИЧЕСКИХ СЕТЕЙ.</t>
  </si>
  <si>
    <t>Разработка грунта в траншее экскаватором для прокладки шин заземления</t>
  </si>
  <si>
    <t>Комплектная трансформаторная подстанция в блочно-модульном исполнении 2КТПП-БМ-630/6/0,4-У3 с трансформаторами ТМГФ-630 кВА</t>
  </si>
  <si>
    <t>Конденсаторная установка КРМ-0,4-100-10-62-УХЛ4</t>
  </si>
  <si>
    <t>подст.</t>
  </si>
  <si>
    <t>Металлоконструкции щита заводского изготовления, однорядного, шкафного исполнения Щ1</t>
  </si>
  <si>
    <t>Блок управления БММ9330-3074</t>
  </si>
  <si>
    <t>Блок управления БМП5132-3774</t>
  </si>
  <si>
    <t>Блок управления БММ8503Р-4470Б</t>
  </si>
  <si>
    <t>Блок управления БММ8503Р-3870Г</t>
  </si>
  <si>
    <t>Блок управления БММ8503Р-3870В</t>
  </si>
  <si>
    <t>Блок управления БМ9515</t>
  </si>
  <si>
    <t>Блок управления БМ9513А</t>
  </si>
  <si>
    <t>Устройство заземления автоцистерн ВУУК-У3А-3В ХЛ1</t>
  </si>
  <si>
    <t>Реле фотоэлектронное РФС11М</t>
  </si>
  <si>
    <t>Пост управления кнопочный взрывозащищенный (2ЕХdIIСТ6) ПВК-25ХЛ1</t>
  </si>
  <si>
    <t>Блок-бокс трансформаторной постанции БМ-2-КТПП 630/6/0,4-03-У3, масса 11 т</t>
  </si>
  <si>
    <t>Блок-бокс трансформаторной постанции БМ-2-КТПП 630/6/0,4-03-У3, масса 10 т</t>
  </si>
  <si>
    <t>Блок-бокс трансформаторной постанции БМ-2-КТПП 630/6/0,4-03-У3, масса 9 т</t>
  </si>
  <si>
    <t>Блок-бокс трансформаторной постанции БМ-2-КТПП 2500/6/0,4-03-У3, масса 4,5 т</t>
  </si>
  <si>
    <t>Установка (шкаф) комплектная конденсаторная на установленных конструкциях, масса, кг, до: 100 - Конденсаторная установка КРМ-0,4-100-10-62-УХЛ4</t>
  </si>
  <si>
    <t>Щит заводского изготовления однорядный или двухрядный шкафного исполнения, глубина до 600 мм</t>
  </si>
  <si>
    <t>Прибор или аппарат, снятый перед транспортировкой (Блоки управления БММ)</t>
  </si>
  <si>
    <t>Монтаж устройства заземления автоцистерн ВУУК-УЗА-3В ХЛ1</t>
  </si>
  <si>
    <t>Коробка с зажимами, устанавливаемая на конструкции на стене или колонне, для кабелей или проводов сечением, мм2, до 10, до 6 зажимов (КЗП3.1-28/6-ВК-25х3)</t>
  </si>
  <si>
    <t>Аппарат (кнопка, ключ управления, замок электромагнитной блокировки, звуковой сигнал, сигнальная лампа), количество подключаемых концов, до 6 -- Реле фотоэлектронное РФС11М</t>
  </si>
  <si>
    <t>Пост управления кнопочный взрывозащищенный с количеством элементов поста до 3, устанавливаемый на конструкции на стене или колонне (ПВК-25ХЛ1)</t>
  </si>
  <si>
    <t>Труба стальная по установленным конструкциям с креплением скобами, диаметр, мм, до 25;40;50</t>
  </si>
  <si>
    <t>Стойка сборных кабельных конструкций (без полок) масса, кг, до 1,6. Полка кабельная, устанавливаемая на стойках массой, кг, до 0,4</t>
  </si>
  <si>
    <t>100шт</t>
  </si>
  <si>
    <t>Рукав металлический, наружный диаметр, мм, до 48 - Шланг электромонтажный</t>
  </si>
  <si>
    <t>Кабели до 35 кВ по установленным конструкциям и лоткам с креплением на поворотах и в конце трассы.</t>
  </si>
  <si>
    <t>Устройство заземления</t>
  </si>
  <si>
    <t>10шт</t>
  </si>
  <si>
    <t>Коробка зажимов, взрывозащищенная (2ЕХЕIIТ5) КЗП3.1-28/6-ВК-25х3</t>
  </si>
  <si>
    <t>Кабель силовой с медной жилой, круглый, не распространяющий горение, ВВГзнг-0,66 3х1,5 мм2</t>
  </si>
  <si>
    <t>ВВГнг-1,0 5х70 мм2</t>
  </si>
  <si>
    <t>ВВГнг-1,0 5х120 мм2</t>
  </si>
  <si>
    <t>ВВГзнг-0,66 4х1,5 мм2</t>
  </si>
  <si>
    <t>ВВГзнг-0,66 4х2,5 мм2</t>
  </si>
  <si>
    <t>ВВГзнг-0,66 5х2,5 мм2</t>
  </si>
  <si>
    <t>ВВГзнг-0,66 5х4 мм2</t>
  </si>
  <si>
    <t xml:space="preserve"> ВВГзнг-0,66 4х6 мм2</t>
  </si>
  <si>
    <t>ВВГзнг-0,66 4х35 мм2</t>
  </si>
  <si>
    <t xml:space="preserve"> ВВГзнг-1,0 4х150 мм2</t>
  </si>
  <si>
    <t>0,66 кВ КВВГзнг 4х1,5</t>
  </si>
  <si>
    <t xml:space="preserve"> 0,66 кВ КВВГзнг 19х1,5</t>
  </si>
  <si>
    <t>Кабель силовой с медной жилой, бронированный, не распространяющий горение ВБбШнг-LS 3х95</t>
  </si>
  <si>
    <t xml:space="preserve">СМР </t>
  </si>
  <si>
    <t xml:space="preserve">в том числе </t>
  </si>
  <si>
    <t>I кв.</t>
  </si>
  <si>
    <t>III кв.</t>
  </si>
  <si>
    <t>IV кв.</t>
  </si>
  <si>
    <t>Установка металлических оград по металлическим столбам без цоколя из сетчатых панелей высотой до 2,2 м</t>
  </si>
  <si>
    <t>Изготовление металлических оград в построечных условиях со стоимотью материалов</t>
  </si>
  <si>
    <t>Изготовление стоек в построечных условиях со стоимотью материалов</t>
  </si>
  <si>
    <t>Окраска металлических огрунтованных поверхностей эмалью ПФ-115</t>
  </si>
  <si>
    <t>02-01-33</t>
  </si>
  <si>
    <t xml:space="preserve">ОБЩЕПЛОЩАДОЧНЫЕ МАТЕРИАЛЫ. </t>
  </si>
  <si>
    <t>ПЛАНИРОВКА ТЕРРИТОРИИ - 3600М2</t>
  </si>
  <si>
    <t>Планировка площадей бульдозерами мощностью 79 (108) кВт (л.с.)</t>
  </si>
  <si>
    <t>1000м2</t>
  </si>
  <si>
    <t>Устройство ворот распашных с установкой столбов металлических</t>
  </si>
  <si>
    <t>БЛАГОУСТРОЙСТВО - 13М2</t>
  </si>
  <si>
    <t>Устройство бетонных плитных тротуаров с заполнением швов цементным растворомсо сть-ю щебня и песка</t>
  </si>
  <si>
    <t>Разработка грунта (торфа) с погрузкой на автомобили-самосвалы экскаваторами.Перевозка торфа, расстояние перевозки 1 км. Перемешивание торфа с песком</t>
  </si>
  <si>
    <t>УСТРОЙСТВО ПРОЕЗДОВ - 1040М2</t>
  </si>
  <si>
    <t>Устройство прослойки из геотекстиля при укреплении откосов со ст-тью геотекстиля</t>
  </si>
  <si>
    <t>10м2</t>
  </si>
  <si>
    <t>Устройство подстилающих и выравнивающих слоев оснований из щебня</t>
  </si>
  <si>
    <t>Устройство оснований из песка с цементом толщиной 0,03 м.Смесь пескоцементная (31,2 м3)</t>
  </si>
  <si>
    <t>Устройство цементобетонных покрытий однослойных средствами малой механизации, толщина слоя 20 см. Бетон тяжелый, класс В25</t>
  </si>
  <si>
    <t xml:space="preserve">Трубопроводы из стальных труб Диаметр трубопровода  наружным диаметром 18х3,0 мм;32х3 мм </t>
  </si>
  <si>
    <t>Трубопроводы из стальных труб Диаметр трубопровода наружный диаметр 114х6,0 мм</t>
  </si>
  <si>
    <t>Изоляция трубопроводов шнурами</t>
  </si>
  <si>
    <t>02-01-22</t>
  </si>
  <si>
    <t xml:space="preserve">ТРУБОПРОВОД ТОСОЛА. </t>
  </si>
  <si>
    <t>ДРЕНАЖНЫЙ ТРУБОПРОВОД</t>
  </si>
  <si>
    <t>ЗЕМЛЯНЫЕ РАБОТЫ</t>
  </si>
  <si>
    <t>Разработка грунта в отвал экскаваторами  с ковшом вместимостью 0,5 (0,5-0,63) м3, группа грунтов 1</t>
  </si>
  <si>
    <t>Монтаж задвижки.Задвижка клиновая с выдвижным шпинделем, с патрубком под приварку встык, из стали 09Г2С с ручным управлением ЗКС 160-25 (31лс41нж1) Ду 25мм, Ру1,6МПа</t>
  </si>
  <si>
    <t>Монтаж задвижки.Задвижка клиновая с выдвижным шпинделем фланцевая из стали 20ГЛ с ручным управлением, с ответными фланцами и крепежными изделиями ЗКЛ2 100-16ХЛ1 (30лс41нж1) Ду 100мм, Ру1,6МПа</t>
  </si>
  <si>
    <t>Монтаж.Стационарное отсечное устройство под приварку СОУ 50х16-СвШп, Ду-25мм,Ру-1,6МПа; СОУ 50х16-СвШп, Ду-50мм,Ру-1,6МПа;  СОУ 100х16-СвШп, Ду-100мм,Ру-1,6МПа</t>
  </si>
  <si>
    <t>Заполнение полости свай цементно-песчаным раствором. Приготовление тяжелых отделочных растворов цементных состава: 1: 3 со ст-ю материалов</t>
  </si>
  <si>
    <t>Огрунтовка бетонных поверхностей свай мастикой МБР (2 слоя) со стоимотью мастики МБР-65</t>
  </si>
  <si>
    <t>Монтаж прогонов при шаге ферм до 12 м при высоте здания до 25 м.Монтаж балок.Марка стали С345, С345к, С345Т1. Изготовление балок в построечных условиях со ст-тью материалов</t>
  </si>
  <si>
    <t>Огрунтовка металлических поверхностей за один раз грунт-шпатлевкой ЭП-0010</t>
  </si>
  <si>
    <t>Монтаж хомутов МС20,МС30. Изготовление хомутов МС20,МС30 в построечных условиях со стоимосью материалов</t>
  </si>
  <si>
    <t>Окраска металлических огрунтованных поверхностей эмалью ЭП-773 в 3 слоя</t>
  </si>
  <si>
    <t>Земляные работы механизированным способом с уплотнением</t>
  </si>
  <si>
    <t>Засыпка вручную траншей, пазух котлованов и ям. Уплотнение грунта пневматическими трамбовками</t>
  </si>
  <si>
    <t>ОСНОВАНИЕ ЕМКОСТИ ОЕ1 V-8м3 - 1ШТ.</t>
  </si>
  <si>
    <t>Земляные работы механизированным способом</t>
  </si>
  <si>
    <t>Монтаж хомутов МС20, Изготовление хомутов МС20 в построечных условиях со стоимосью материалов</t>
  </si>
  <si>
    <t>УСТРОЙСТВО СТОЙКИ ВОЗДУШНИКА СТВ1 -3ШТ.</t>
  </si>
  <si>
    <t>Бурение ям бурильно-крановыми машинами на тракторе глубиной до 2 м, группа грунтов 2</t>
  </si>
  <si>
    <t>100ям</t>
  </si>
  <si>
    <t>Монтаж стоек в пробуреную скважену и изготовление стоек в построечных условиях</t>
  </si>
  <si>
    <t>Оборуд.</t>
  </si>
  <si>
    <t>31.1.</t>
  </si>
  <si>
    <t>31.1.1.</t>
  </si>
  <si>
    <t>31.2.</t>
  </si>
  <si>
    <t>31.2.1.</t>
  </si>
  <si>
    <t>31.2.2.</t>
  </si>
  <si>
    <t>31.2.3.</t>
  </si>
  <si>
    <t>31.2.4.</t>
  </si>
  <si>
    <t>31.2.5.</t>
  </si>
  <si>
    <t>31.2.6.</t>
  </si>
  <si>
    <t>31.2.7.</t>
  </si>
  <si>
    <t>31.2.8.</t>
  </si>
  <si>
    <t>31.2.9.</t>
  </si>
  <si>
    <t>31.2.10.</t>
  </si>
  <si>
    <t>31.2.11.</t>
  </si>
  <si>
    <t>31.2.12.</t>
  </si>
  <si>
    <t>31.2.13.</t>
  </si>
  <si>
    <t>31.2.14.</t>
  </si>
  <si>
    <t>31.2.15.</t>
  </si>
  <si>
    <t>31.2.16.</t>
  </si>
  <si>
    <t>31.2.17.</t>
  </si>
  <si>
    <t>31.2.18.</t>
  </si>
  <si>
    <t>31.2.19.</t>
  </si>
  <si>
    <t>31.2.20.</t>
  </si>
  <si>
    <t>31.2.21.</t>
  </si>
  <si>
    <t>31.2.22.</t>
  </si>
  <si>
    <t>31.2.23.</t>
  </si>
  <si>
    <t>31.2.24.</t>
  </si>
  <si>
    <t>31.2.25.</t>
  </si>
  <si>
    <t>31.2.26.</t>
  </si>
  <si>
    <t>31.2.27.</t>
  </si>
  <si>
    <t>31.2.28.</t>
  </si>
  <si>
    <t>31.2.29.</t>
  </si>
  <si>
    <t>31.2.30.</t>
  </si>
  <si>
    <t>31.2.31.</t>
  </si>
  <si>
    <t>31.2.32.</t>
  </si>
  <si>
    <t>31.2.33.</t>
  </si>
  <si>
    <t>31.2.34.</t>
  </si>
  <si>
    <t>31.2.35.</t>
  </si>
  <si>
    <t>31.2.36.</t>
  </si>
  <si>
    <t>31.2.37.</t>
  </si>
  <si>
    <t>32.</t>
  </si>
  <si>
    <t>32.1.</t>
  </si>
  <si>
    <t>32.2.</t>
  </si>
  <si>
    <t>32.3.</t>
  </si>
  <si>
    <t>32.4.</t>
  </si>
  <si>
    <t>32.5.</t>
  </si>
  <si>
    <t>32.6.</t>
  </si>
  <si>
    <t>33.</t>
  </si>
  <si>
    <t>33.1.</t>
  </si>
  <si>
    <t>33.1.1.</t>
  </si>
  <si>
    <t>33.2.</t>
  </si>
  <si>
    <t>33.2.1.</t>
  </si>
  <si>
    <t>33.3.</t>
  </si>
  <si>
    <t>33.3.1.</t>
  </si>
  <si>
    <t>33.3.2.</t>
  </si>
  <si>
    <t>33.4.</t>
  </si>
  <si>
    <t>33.4.1.</t>
  </si>
  <si>
    <t>33.4.2.</t>
  </si>
  <si>
    <t>33.4.3.</t>
  </si>
  <si>
    <t>33.4.4.</t>
  </si>
  <si>
    <t>33.4.5.</t>
  </si>
  <si>
    <t>34.</t>
  </si>
  <si>
    <t>34.1.</t>
  </si>
  <si>
    <t>34.1.1.</t>
  </si>
  <si>
    <t>34.1.2.</t>
  </si>
  <si>
    <t>34.1.3.</t>
  </si>
  <si>
    <t>34.1.4.</t>
  </si>
  <si>
    <t>34.1.5.</t>
  </si>
  <si>
    <t>34.1.6.</t>
  </si>
  <si>
    <t>34.1.7.</t>
  </si>
  <si>
    <t>34.1.8.</t>
  </si>
  <si>
    <t>34.1.9.</t>
  </si>
  <si>
    <t>34.1.10.</t>
  </si>
  <si>
    <t>34.1.11.</t>
  </si>
  <si>
    <t>34.1.12.</t>
  </si>
  <si>
    <t>34.1.13.</t>
  </si>
  <si>
    <t>34.1.14.</t>
  </si>
  <si>
    <t>34.1.15.</t>
  </si>
  <si>
    <t>34.1.16.</t>
  </si>
  <si>
    <t>34.1.17.</t>
  </si>
  <si>
    <t>34.1.18.</t>
  </si>
  <si>
    <t>34.1.19.</t>
  </si>
  <si>
    <t>34.1.20.</t>
  </si>
  <si>
    <t>34.1.21.</t>
  </si>
  <si>
    <t>34.1.22.</t>
  </si>
  <si>
    <t>34.1.23.</t>
  </si>
  <si>
    <t>34.1.24.</t>
  </si>
  <si>
    <t>34.1.25.</t>
  </si>
  <si>
    <t>34.1.26.</t>
  </si>
  <si>
    <t>34.1.27.</t>
  </si>
  <si>
    <t>34.1.28.</t>
  </si>
  <si>
    <t>34.1.29.</t>
  </si>
  <si>
    <t>34.1.30.</t>
  </si>
  <si>
    <t>34.1.31.</t>
  </si>
  <si>
    <t>34.1.32.</t>
  </si>
  <si>
    <t>34.1.33.</t>
  </si>
  <si>
    <t>34.1.34.</t>
  </si>
  <si>
    <t>34.1.35.</t>
  </si>
  <si>
    <t>34.1.36.</t>
  </si>
  <si>
    <t>34.1.37.</t>
  </si>
  <si>
    <t>34.1.38.</t>
  </si>
  <si>
    <t>34.1.39.</t>
  </si>
  <si>
    <t>34.1.40.</t>
  </si>
  <si>
    <t>34.1.41.</t>
  </si>
  <si>
    <t>34.1.42.</t>
  </si>
  <si>
    <t>34.1.43.</t>
  </si>
  <si>
    <t>34.1.44.</t>
  </si>
  <si>
    <t>34.1.45.</t>
  </si>
  <si>
    <t>34.1.46.</t>
  </si>
  <si>
    <t>34.1.47.</t>
  </si>
  <si>
    <t>34.1.48.</t>
  </si>
  <si>
    <t>34.1.49.</t>
  </si>
  <si>
    <t>34.1.50.</t>
  </si>
  <si>
    <t>34.1.51.</t>
  </si>
  <si>
    <t>34.1.52.</t>
  </si>
  <si>
    <t>34.1.53.</t>
  </si>
  <si>
    <t>34.1.54.</t>
  </si>
  <si>
    <t>34.1.55.</t>
  </si>
  <si>
    <t>34.1.56.</t>
  </si>
  <si>
    <t>34.1.57.</t>
  </si>
  <si>
    <t>34.1.58.</t>
  </si>
  <si>
    <t>34.1.59.</t>
  </si>
  <si>
    <t>34.1.60.</t>
  </si>
  <si>
    <t>34.1.61.</t>
  </si>
  <si>
    <t>34.1.62.</t>
  </si>
  <si>
    <t>34.1.63.</t>
  </si>
  <si>
    <t>34.1.64.</t>
  </si>
  <si>
    <t>34.1.65.</t>
  </si>
  <si>
    <t>34.1.66.</t>
  </si>
  <si>
    <t>34.1.67.</t>
  </si>
  <si>
    <t>34.1.68.</t>
  </si>
  <si>
    <t>34.1.69.</t>
  </si>
  <si>
    <t>34.1.70.</t>
  </si>
  <si>
    <t>34.1.71.</t>
  </si>
  <si>
    <t>34.1.72.</t>
  </si>
  <si>
    <t>34.1.73.</t>
  </si>
  <si>
    <t>34.1.74.</t>
  </si>
  <si>
    <t>34.1.75.</t>
  </si>
  <si>
    <t>34.1.76.</t>
  </si>
  <si>
    <t>34.1.77.</t>
  </si>
  <si>
    <t>34.1.78.</t>
  </si>
  <si>
    <t>34.1.79.</t>
  </si>
  <si>
    <t>34.1.80.</t>
  </si>
  <si>
    <t>34.1.81.</t>
  </si>
  <si>
    <t>34.1.82.</t>
  </si>
  <si>
    <t>34.1.83.</t>
  </si>
  <si>
    <t>34.1.84.</t>
  </si>
  <si>
    <t>34.1.85.</t>
  </si>
  <si>
    <t>34.1.86.</t>
  </si>
  <si>
    <t>34.1.87.</t>
  </si>
  <si>
    <t>34.1.88.</t>
  </si>
  <si>
    <t>34.1.89.</t>
  </si>
  <si>
    <t>34.1.90.</t>
  </si>
  <si>
    <t>34.1.91.</t>
  </si>
  <si>
    <t>34.1.92.</t>
  </si>
  <si>
    <t>34.1.93.</t>
  </si>
  <si>
    <t>34.1.94.</t>
  </si>
  <si>
    <t>34.1.95.</t>
  </si>
  <si>
    <t>34.1.96.</t>
  </si>
  <si>
    <t>34.1.97.</t>
  </si>
  <si>
    <t>34.1.98.</t>
  </si>
  <si>
    <t>34.1.99.</t>
  </si>
  <si>
    <t>34.1.100.</t>
  </si>
  <si>
    <t>35.</t>
  </si>
  <si>
    <t>35.1.1.</t>
  </si>
  <si>
    <t>35.1.2.</t>
  </si>
  <si>
    <t>35.1.3.</t>
  </si>
  <si>
    <t>35.1.4.</t>
  </si>
  <si>
    <t>36.</t>
  </si>
  <si>
    <t>36.1.</t>
  </si>
  <si>
    <t>36.1.1.</t>
  </si>
  <si>
    <t>36.1.2.</t>
  </si>
  <si>
    <t>36.1.3.</t>
  </si>
  <si>
    <t>36.1.4.</t>
  </si>
  <si>
    <t>36.1.5.</t>
  </si>
  <si>
    <t>36.1.6.</t>
  </si>
  <si>
    <t>база</t>
  </si>
  <si>
    <t>23.2.2.</t>
  </si>
  <si>
    <t>23.2.3.</t>
  </si>
  <si>
    <t>23.2.4.</t>
  </si>
  <si>
    <t>23.2.5.</t>
  </si>
  <si>
    <t>23.2.6.</t>
  </si>
  <si>
    <t>23.2.7.</t>
  </si>
  <si>
    <t>23.2.8.</t>
  </si>
  <si>
    <t>23.2.9.</t>
  </si>
  <si>
    <t>23.2.10.</t>
  </si>
  <si>
    <t>23.2.11.</t>
  </si>
  <si>
    <t>23.2.12.</t>
  </si>
  <si>
    <t>23.2.13.</t>
  </si>
  <si>
    <t>23.2.14.</t>
  </si>
  <si>
    <t>23.2.15.</t>
  </si>
  <si>
    <t>23.3.</t>
  </si>
  <si>
    <t>23.3.1.</t>
  </si>
  <si>
    <t>23.3.2.</t>
  </si>
  <si>
    <t>23.3.3.</t>
  </si>
  <si>
    <t>23.3.4.</t>
  </si>
  <si>
    <t>23.3.5.</t>
  </si>
  <si>
    <t>23.3.6.</t>
  </si>
  <si>
    <t>23.3.7.</t>
  </si>
  <si>
    <t>23.3.8.</t>
  </si>
  <si>
    <t>об.142</t>
  </si>
  <si>
    <t>об.150</t>
  </si>
  <si>
    <t>об.219</t>
  </si>
  <si>
    <t>об.220</t>
  </si>
  <si>
    <t>об.221</t>
  </si>
  <si>
    <t>об.222</t>
  </si>
  <si>
    <t>об.240</t>
  </si>
  <si>
    <t>об.405</t>
  </si>
  <si>
    <t>об.406</t>
  </si>
  <si>
    <t>об.407</t>
  </si>
  <si>
    <t>об.408</t>
  </si>
  <si>
    <t>об.409</t>
  </si>
  <si>
    <t>об.410</t>
  </si>
  <si>
    <t>об.499</t>
  </si>
  <si>
    <t>об.575</t>
  </si>
  <si>
    <t>об.576</t>
  </si>
  <si>
    <t>об.583</t>
  </si>
  <si>
    <t>об.584</t>
  </si>
  <si>
    <t>об.585</t>
  </si>
  <si>
    <t>об.586</t>
  </si>
  <si>
    <t>об.587</t>
  </si>
  <si>
    <t>об.588</t>
  </si>
  <si>
    <t>об.617</t>
  </si>
  <si>
    <t>об.643</t>
  </si>
  <si>
    <t>об.644</t>
  </si>
  <si>
    <t>об.645</t>
  </si>
  <si>
    <t>об.646</t>
  </si>
  <si>
    <t>об.647</t>
  </si>
  <si>
    <t>об.648</t>
  </si>
  <si>
    <t>об.649</t>
  </si>
  <si>
    <t>об.650</t>
  </si>
  <si>
    <t>об.651</t>
  </si>
  <si>
    <t>об.652</t>
  </si>
  <si>
    <t>об.653</t>
  </si>
  <si>
    <t>об.654</t>
  </si>
  <si>
    <t>об.655</t>
  </si>
  <si>
    <t>об.718</t>
  </si>
  <si>
    <t>об.719</t>
  </si>
  <si>
    <t>об.720</t>
  </si>
  <si>
    <t>об.721</t>
  </si>
  <si>
    <t>об.722</t>
  </si>
  <si>
    <t>об.723</t>
  </si>
  <si>
    <t>об.724</t>
  </si>
  <si>
    <t>об.725</t>
  </si>
  <si>
    <t>об.726</t>
  </si>
  <si>
    <t>об.727</t>
  </si>
  <si>
    <t>об.728</t>
  </si>
  <si>
    <t>об.729</t>
  </si>
  <si>
    <t>об.730</t>
  </si>
  <si>
    <t>об.731</t>
  </si>
  <si>
    <t>об.732</t>
  </si>
  <si>
    <t>об.733</t>
  </si>
  <si>
    <t>об.734</t>
  </si>
  <si>
    <t>об.735</t>
  </si>
  <si>
    <t>об.736</t>
  </si>
  <si>
    <t>об.737</t>
  </si>
  <si>
    <t>об.740</t>
  </si>
  <si>
    <t>об.741</t>
  </si>
  <si>
    <t>об.742</t>
  </si>
  <si>
    <t>об.743</t>
  </si>
  <si>
    <t>об.744</t>
  </si>
  <si>
    <t>об.745</t>
  </si>
  <si>
    <t>об.746</t>
  </si>
  <si>
    <t>об.747</t>
  </si>
  <si>
    <t>об.748</t>
  </si>
  <si>
    <t>об.749</t>
  </si>
  <si>
    <t>об.750</t>
  </si>
  <si>
    <t>об.751</t>
  </si>
  <si>
    <t>об.752</t>
  </si>
  <si>
    <t>об.753</t>
  </si>
  <si>
    <t>об.754</t>
  </si>
  <si>
    <t>об.755</t>
  </si>
  <si>
    <t>об.756</t>
  </si>
  <si>
    <t>об.758</t>
  </si>
  <si>
    <t>об.759</t>
  </si>
  <si>
    <t>об.760</t>
  </si>
  <si>
    <t>об.761</t>
  </si>
  <si>
    <t>об.762</t>
  </si>
  <si>
    <t>об.763</t>
  </si>
  <si>
    <t>об.764</t>
  </si>
  <si>
    <t>об.765</t>
  </si>
  <si>
    <t>об.766</t>
  </si>
  <si>
    <t>об.767</t>
  </si>
  <si>
    <t>об.768</t>
  </si>
  <si>
    <t>об.769</t>
  </si>
  <si>
    <t>об.771</t>
  </si>
  <si>
    <t>об.772</t>
  </si>
  <si>
    <t>об.773</t>
  </si>
  <si>
    <t>об.774</t>
  </si>
  <si>
    <t>об.775</t>
  </si>
  <si>
    <t>об.776</t>
  </si>
  <si>
    <t>об.777</t>
  </si>
  <si>
    <t>об.778</t>
  </si>
  <si>
    <t>об.779</t>
  </si>
  <si>
    <t>об.780</t>
  </si>
  <si>
    <t>об.782</t>
  </si>
  <si>
    <t>об.783</t>
  </si>
  <si>
    <t>об.784</t>
  </si>
  <si>
    <t>об.785</t>
  </si>
  <si>
    <t>об.786</t>
  </si>
  <si>
    <t>об.787</t>
  </si>
  <si>
    <t>об.788</t>
  </si>
  <si>
    <t>об.791</t>
  </si>
  <si>
    <t>об.792</t>
  </si>
  <si>
    <t>об.793</t>
  </si>
  <si>
    <t>об.794</t>
  </si>
  <si>
    <t>об.795</t>
  </si>
  <si>
    <t>об.796</t>
  </si>
  <si>
    <t>об.798</t>
  </si>
  <si>
    <t>об.799</t>
  </si>
  <si>
    <t>об.800</t>
  </si>
  <si>
    <t>об.801</t>
  </si>
  <si>
    <t>об.802</t>
  </si>
  <si>
    <t>об.803</t>
  </si>
  <si>
    <t>об.804</t>
  </si>
  <si>
    <t>об.806</t>
  </si>
  <si>
    <t>об.807</t>
  </si>
  <si>
    <t>об.808</t>
  </si>
  <si>
    <t>об.810</t>
  </si>
  <si>
    <t>об.811</t>
  </si>
  <si>
    <t>об.812</t>
  </si>
  <si>
    <t>об.921</t>
  </si>
  <si>
    <t>об.922</t>
  </si>
  <si>
    <t>об.923</t>
  </si>
  <si>
    <t>об.931</t>
  </si>
  <si>
    <t>об.932</t>
  </si>
  <si>
    <t>об.933</t>
  </si>
  <si>
    <t>об.1</t>
  </si>
  <si>
    <t>об.2</t>
  </si>
  <si>
    <t>об.3</t>
  </si>
  <si>
    <t>об.4</t>
  </si>
  <si>
    <t>об.5</t>
  </si>
  <si>
    <t>об.6</t>
  </si>
  <si>
    <t>об.7</t>
  </si>
  <si>
    <t>об.8</t>
  </si>
  <si>
    <t>об.9</t>
  </si>
  <si>
    <t>об.10</t>
  </si>
  <si>
    <t>об.11</t>
  </si>
  <si>
    <t>об.12</t>
  </si>
  <si>
    <t>об.13</t>
  </si>
  <si>
    <t>об.14</t>
  </si>
  <si>
    <t>об.15</t>
  </si>
  <si>
    <t>об.16</t>
  </si>
  <si>
    <t>об.17</t>
  </si>
  <si>
    <t>об.18</t>
  </si>
  <si>
    <t>об.19</t>
  </si>
  <si>
    <t>об.20</t>
  </si>
  <si>
    <t>об.21</t>
  </si>
  <si>
    <t>об.22</t>
  </si>
  <si>
    <t>об.23</t>
  </si>
  <si>
    <t>об.24</t>
  </si>
  <si>
    <t>об.25</t>
  </si>
  <si>
    <t>об.26</t>
  </si>
  <si>
    <t>об.27</t>
  </si>
  <si>
    <t>об.28</t>
  </si>
  <si>
    <t>об.29</t>
  </si>
  <si>
    <t>об.30</t>
  </si>
  <si>
    <t>об.31</t>
  </si>
  <si>
    <t>об.32</t>
  </si>
  <si>
    <t>об.33</t>
  </si>
  <si>
    <t>об.34</t>
  </si>
  <si>
    <t>об.35</t>
  </si>
  <si>
    <t>об.36</t>
  </si>
  <si>
    <t>об.37</t>
  </si>
  <si>
    <t>об.38</t>
  </si>
  <si>
    <t>об.39</t>
  </si>
  <si>
    <t>об.40</t>
  </si>
  <si>
    <t>об.41</t>
  </si>
  <si>
    <t>об.42</t>
  </si>
  <si>
    <t>об.43</t>
  </si>
  <si>
    <t>об.44</t>
  </si>
  <si>
    <t>об.45</t>
  </si>
  <si>
    <t>об.46</t>
  </si>
  <si>
    <t>об.47</t>
  </si>
  <si>
    <t>об.48</t>
  </si>
  <si>
    <t>об.49</t>
  </si>
  <si>
    <t>об.50</t>
  </si>
  <si>
    <t>об.51</t>
  </si>
  <si>
    <t>об.52</t>
  </si>
  <si>
    <t>об.53</t>
  </si>
  <si>
    <t>об.54</t>
  </si>
  <si>
    <t>об.55</t>
  </si>
  <si>
    <t>об.56</t>
  </si>
  <si>
    <t>об.57</t>
  </si>
  <si>
    <t>об.58</t>
  </si>
  <si>
    <t>об.59</t>
  </si>
  <si>
    <t>об.60</t>
  </si>
  <si>
    <t>об.61</t>
  </si>
  <si>
    <t>об.62</t>
  </si>
  <si>
    <t>об.63</t>
  </si>
  <si>
    <t>об.64</t>
  </si>
  <si>
    <t>об.65</t>
  </si>
  <si>
    <t>об.66</t>
  </si>
  <si>
    <t>об.67</t>
  </si>
  <si>
    <t>об.68</t>
  </si>
  <si>
    <t>об.69</t>
  </si>
  <si>
    <t>об.70</t>
  </si>
  <si>
    <t>об.71</t>
  </si>
  <si>
    <t>об.72</t>
  </si>
  <si>
    <t>об.73</t>
  </si>
  <si>
    <t>об.74</t>
  </si>
  <si>
    <t>об.75</t>
  </si>
  <si>
    <t>об.76</t>
  </si>
  <si>
    <t>об.77</t>
  </si>
  <si>
    <t>об.78</t>
  </si>
  <si>
    <t>об.79</t>
  </si>
  <si>
    <t>об.80</t>
  </si>
  <si>
    <t>об.81</t>
  </si>
  <si>
    <t>об.82</t>
  </si>
  <si>
    <t>об.83</t>
  </si>
  <si>
    <t>об.84</t>
  </si>
  <si>
    <t>об.85</t>
  </si>
  <si>
    <t>об.86</t>
  </si>
  <si>
    <t>об.87</t>
  </si>
  <si>
    <t>об.88</t>
  </si>
  <si>
    <t>об.89</t>
  </si>
  <si>
    <t>об.90</t>
  </si>
  <si>
    <t>об.91</t>
  </si>
  <si>
    <t>об.92</t>
  </si>
  <si>
    <t>об.93</t>
  </si>
  <si>
    <t>об.94</t>
  </si>
  <si>
    <t>об.95</t>
  </si>
  <si>
    <t>об.96</t>
  </si>
  <si>
    <t>об.97</t>
  </si>
  <si>
    <t>об.98</t>
  </si>
  <si>
    <t>об.99</t>
  </si>
  <si>
    <t>об.100</t>
  </si>
  <si>
    <t>об.101</t>
  </si>
  <si>
    <t>об.102</t>
  </si>
  <si>
    <t>об.103</t>
  </si>
  <si>
    <t>об.104</t>
  </si>
  <si>
    <t>об.105</t>
  </si>
  <si>
    <t>об.106</t>
  </si>
  <si>
    <t>об.107</t>
  </si>
  <si>
    <t>об.108</t>
  </si>
  <si>
    <t>об.109</t>
  </si>
  <si>
    <t>об.110</t>
  </si>
  <si>
    <t>об.111</t>
  </si>
  <si>
    <t>об.112</t>
  </si>
  <si>
    <t>об.113</t>
  </si>
  <si>
    <t>об.114</t>
  </si>
  <si>
    <t>об.115</t>
  </si>
  <si>
    <t>об.116</t>
  </si>
  <si>
    <t>об.117</t>
  </si>
  <si>
    <t>об.118</t>
  </si>
  <si>
    <t>об.119</t>
  </si>
  <si>
    <t>об.120</t>
  </si>
  <si>
    <t>об.121</t>
  </si>
  <si>
    <t>об.122</t>
  </si>
  <si>
    <t>об.123</t>
  </si>
  <si>
    <t>об.124</t>
  </si>
  <si>
    <t>об.125</t>
  </si>
  <si>
    <t>об.126</t>
  </si>
  <si>
    <t>об.127</t>
  </si>
  <si>
    <t>Строка</t>
  </si>
  <si>
    <t>Наименование</t>
  </si>
  <si>
    <t>е.и.</t>
  </si>
  <si>
    <t>кол.</t>
  </si>
  <si>
    <t>цена за е.и.</t>
  </si>
  <si>
    <t>цена всего</t>
  </si>
  <si>
    <t>код</t>
  </si>
  <si>
    <t>Общий итог</t>
  </si>
  <si>
    <t>Данные</t>
  </si>
  <si>
    <t>Кол-во</t>
  </si>
  <si>
    <t>встречается, раз▼</t>
  </si>
  <si>
    <t>Монтаж. Кран шаровой фланцевый, с ручным управлениям, с ответными фланцами и крепежными изделиями Ду 200мм,Ру</t>
  </si>
  <si>
    <t>Монтаж.Клапан обратный поворотный, из стали 20ГЛ , с ответными фланцами и кркпежными изделиями КОП 50-40(19лс53нж) Ду 50мм,Ру</t>
  </si>
  <si>
    <t>Клапан обратный поворотный, из стали 20ГЛ , с ответными фланцами и кркпежными изделиями КОП 80-40(19лс53нж) Ду 80мм,Ру</t>
  </si>
  <si>
    <t>Монтаж. Клапан обратный поворотный, из стали 20ГЛ , с ответными фланцами и кркпежными изделиями КОП 80-40(19лс53нж) Ду 80мм,Ру</t>
  </si>
  <si>
    <t>Монтаж.Муфта сливная МС 50 УХЛ, Ду-50мм,Ру-0,1МПа</t>
  </si>
  <si>
    <t>Монтаж.Клапан обратный поворотный, из стали 20ГЛ , с ответными фланцами и кркпежными изделиями КОП 200-40(19лс53нж) Ду 200мм,Ру</t>
  </si>
  <si>
    <t>Монтаж.Стационарное отсечное устройство под приварку СОУ 200х16-СвШп, и СОУ 80х16-СвШп, Ду-80мм,Ру-1,6МПа</t>
  </si>
  <si>
    <t>Монтаж. Отборное устройство (016-70-09Г2С-МП)</t>
  </si>
  <si>
    <t>Трубопроводы из стальных труб Диаметр трубопровода наружный, мм 57</t>
  </si>
  <si>
    <t>стык</t>
  </si>
  <si>
    <t xml:space="preserve">Контроль стыков. Трубопровод, диаметр, мм 57.Рентгенографический контроль. </t>
  </si>
  <si>
    <t>Трубопроводы из стальных труб Диаметр трубопровода наружный диаметр 89х6,0 мм</t>
  </si>
  <si>
    <t>Трубопроводы из стальных труб Диаметр трубопровода наружный  диаметр 114х5 мм</t>
  </si>
  <si>
    <t xml:space="preserve">Контроль стыков. Трубопровод, диаметр,114 мм </t>
  </si>
  <si>
    <t>Трубопроводы из стальных труб Диаметр трубопровода наружный диаметр 159х6 мм</t>
  </si>
  <si>
    <t xml:space="preserve">Контроль стыков. Трубопровод, диаметр,159 мм </t>
  </si>
  <si>
    <t>Трубопроводы из стальных труб Диаметр трубопровода наружный диаметр 219 мм</t>
  </si>
  <si>
    <t xml:space="preserve">Контроль стыков. Трубопровод, диаметр,219 мм </t>
  </si>
  <si>
    <t xml:space="preserve">Контроль стыков. Трубопровод, диаметр, 325 мм </t>
  </si>
  <si>
    <t>Трубопроводы из стальных труб Диаметр трубопровода наружный диаметр 325 мм</t>
  </si>
  <si>
    <t>Рентгенографический контроль. Трубопровод , толщина стенки, мм, до 10</t>
  </si>
  <si>
    <t>снимок</t>
  </si>
  <si>
    <t>Установка фасонных частей стальных сварных диаметром 100-250 мм</t>
  </si>
  <si>
    <t>Монтаж опор. Опоры скользящие</t>
  </si>
  <si>
    <t>НАДЗЕМНАЯ ИЗОЛЯЦИЯ ТРУБОПРОВОДОВ</t>
  </si>
  <si>
    <t>Огрунтовка металлических поверхностей за один раз грунтовкой ГФ-021(для теплоизоляции)</t>
  </si>
  <si>
    <t>Окраска металлических огрунтованных поверхностей эмалью ПФ-115 за 2 раза(для теплоизоляции)</t>
  </si>
  <si>
    <t>Изоляция трубопроводов матами минераловатными</t>
  </si>
  <si>
    <t>м2</t>
  </si>
  <si>
    <t>МОНТАЖНЫЕ РАБОТЫ</t>
  </si>
  <si>
    <t>10м</t>
  </si>
  <si>
    <t>Монтаж задвижки. Задвижка клиновая с выдвижным шпинделем фланцевая из стали 20ГЛ с ручным управлением, с ответными фланцами и крепежными изделиями ЗКЛ2 100-16ХЛ1 (30лс41нж1) Ду 100мм, Ру1,6МПа</t>
  </si>
  <si>
    <t>Кран шаровой фланцевый, с ручным управлениям, с ответными фланцами и крепежными изделиями Ду 100мм,Ру</t>
  </si>
  <si>
    <t>Монтаж.Кран шаровой фланцевый, с ручным управлениям, с ответными фланцами и крепежными изделиями Ду 100мм,Ру</t>
  </si>
  <si>
    <t>Кран шаровой фланцевый, с ручным управлениям, с ответными фланцами и крепежными изделиями Ду 150мм,Ру</t>
  </si>
  <si>
    <t>Кран шаровой фланцевый, с ручным управлениям, с ответными фланцами и крепежными изделиями Ду 200мм,Ру</t>
  </si>
  <si>
    <t>Монтаж. Кран шаровой фланцевый, с ручным управлениям, с ответными фланцами и крепежными изделиями Ду 150мм,Ру</t>
  </si>
  <si>
    <t>(Все)</t>
  </si>
  <si>
    <t>Сумма, руб. без НДС</t>
  </si>
  <si>
    <t>Монтаж детектора горючих газов Контроллер Sensepoint</t>
  </si>
  <si>
    <t>Контроллер СГМ-110-В/D</t>
  </si>
  <si>
    <t>Модуль архивирования и программирования МАП-СГМ-110/D</t>
  </si>
  <si>
    <t>Пост управления кнопочный взрывозащищенный (количество кнопок поста 1 - ВУУК-1КН</t>
  </si>
  <si>
    <t>Световой оповещатель взрывобезопасного наружного исполнения ВС-4-С-24В</t>
  </si>
  <si>
    <t>Сирена взрывозащищенного наружного исполнения ВС-3-П-24В</t>
  </si>
  <si>
    <t>Шкаф Риттал (800х2200х600 мм)Арт.№ NS 8826.500</t>
  </si>
  <si>
    <t>Приборы, устанавливаемые на металлоконструкциях, щитах и пультах, масса до 10 кг -- Процессор ControlLogix 1756-L63</t>
  </si>
  <si>
    <t>Съемные и выдвижные блоки (модули, ячейки, ТЭЗ), масса до 5 кг -- Установка модулей комплекса автоматизации и электроаппаратов на щите</t>
  </si>
  <si>
    <t>Вентилятор радиальный с электродвигателем на одной оси, масса до 0,05 т -- Вентилятор потолочный Арт.№ SK 3149.007</t>
  </si>
  <si>
    <t>Установка терморегулятора Rittal арт.№ SK 3110.000</t>
  </si>
  <si>
    <t>Светильник отдельно устанавливаемый на штырях с количеством ламп в светильнике 1 -- Светильник ЛПБ2001</t>
  </si>
  <si>
    <t>Выключатель одноклавишный неутопленного типа при открытой проводке -- Выключатель двери концевой Rittal Арт.№ SZ 4127.000</t>
  </si>
  <si>
    <t>Проводник заземляющий из медного изолированного провода сечением 25 мм2 открыто по строительным основаниям -- Шина заземления Rittal Арт.№ DK 7113.000</t>
  </si>
  <si>
    <t>Розетка штепсельная неутопленного типа при открытой проводке -- Розетка EMG 45-SD-D/LA/S1</t>
  </si>
  <si>
    <t>Автомат одно-, двух-, трехполюсный, устанавливаемый на конструкции на стене или колонне, на ток до 25 А</t>
  </si>
  <si>
    <t>Приборы, устанавливаемые на металлоконструкциях, щитах и пультах, масса до 10 кг -- Процессор ControlLogix 1756-L61</t>
  </si>
  <si>
    <t>Шкаф сетевой Риттал Арт.№ ТЕ 7000.800</t>
  </si>
  <si>
    <t>Блок вентиляторов Арт. № ТЕ 7000.670</t>
  </si>
  <si>
    <t>Проводник заземляющий  -- Шина заземления Rittal Арт.№ DK 7113.000</t>
  </si>
  <si>
    <t>Сервер ввода-вывода НР ProLiant DL380 G6 Server series</t>
  </si>
  <si>
    <t xml:space="preserve"> Коммутационный процессор CP5613 A2; Сервер-Web Stratus ftServer 2600; Сервер баз данных Stratus ftServer 2600</t>
  </si>
  <si>
    <t>Переключатель клавиатуры ATEN CL1008</t>
  </si>
  <si>
    <t xml:space="preserve"> Коммутатор Cisco C3750G-24NS</t>
  </si>
  <si>
    <t>Выключатель двери концевой Rittal Арт.№ SZ 4127.000</t>
  </si>
  <si>
    <t>Светильник ЛПБ2001</t>
  </si>
  <si>
    <t>Шина заземления Rittal Арт.№ DK 7113.000</t>
  </si>
  <si>
    <t xml:space="preserve"> Установка электроаппаратов на щите</t>
  </si>
  <si>
    <t>Системный блок IROBO-2000-4335 и   Патч-панель РР-19-24-8Р8С-С5е-110D</t>
  </si>
  <si>
    <t xml:space="preserve"> Светильник ЛПБ2001  и  Выключатель двери концевой Rittal Арт.№ SZ 4127.000</t>
  </si>
  <si>
    <t xml:space="preserve"> Шина заземления Rittal Арт.№ DK 7113.000</t>
  </si>
  <si>
    <t>Электрические проводки в щитах и пультах шкафных и панельных</t>
  </si>
  <si>
    <t xml:space="preserve">Коробка (ящик) с зажимами для кабелей и проводов </t>
  </si>
  <si>
    <t xml:space="preserve">Короб металлический на конструкциях, кронштейнах; Кабель-канал перфорированный </t>
  </si>
  <si>
    <t>Труба стальная во взрывоопасных и пожароопасных помещениях; Металлорукав наружным диаметром, мм, до 48</t>
  </si>
  <si>
    <t>Кабель до 35 кВ в проложенных трубах, блоках и коробах, масса 1 м кабеля до 1 кг</t>
  </si>
  <si>
    <t>Присоединение под винт с изготовлением колец</t>
  </si>
  <si>
    <t>Проводник заземляющий из провода сечением до 25 мм2 открыто по строительным основаниям</t>
  </si>
  <si>
    <t>Программное обеспечение верхнего уровня ПО ВУ</t>
  </si>
  <si>
    <t>Гильзы защитные 2001-02-М20х1,5</t>
  </si>
  <si>
    <t>Светильник ЛПБ2001 13 Вт</t>
  </si>
  <si>
    <t>Выключатель двери концевой RiТТАl Арт.№ SZ 4127.000</t>
  </si>
  <si>
    <t>Шина заземления RiТТАl Арт.№ DК 7113.000</t>
  </si>
  <si>
    <t>Розетка ЕМG 45-SD-D/LА/S1(3шт); Клемма UТ</t>
  </si>
  <si>
    <t>Ограничитель стопорный на DIN-рейку СLIРFIХ 35-5; Перегородка разделяющая ТRN-UК; Перегородка разделяющая ТRN-UК</t>
  </si>
  <si>
    <t>Выключатель автоматический 5SХ2 216-6 16А</t>
  </si>
  <si>
    <t>Блок розеток Провенто SО 08 ISS; Клемма UТ</t>
  </si>
  <si>
    <t>2012 год</t>
  </si>
  <si>
    <t>2011 год</t>
  </si>
  <si>
    <t>Приложение №__</t>
  </si>
  <si>
    <t>ВСЕГО С ОБОРУДОВАНИЕМ иждивен. Подрядчика:</t>
  </si>
  <si>
    <t>Начальник ОКС "Новосибирскнефтегаз" ________________/ Е.А.Коротков /</t>
  </si>
  <si>
    <t>Кабель РRОFIВUS FС с оболочкой, не выделяющей вредных веществ при горении</t>
  </si>
  <si>
    <t>Кабель контрольный КВВГнг 4х1,0</t>
  </si>
  <si>
    <t>Кабель контрольный КВВГнг 7х1,0</t>
  </si>
  <si>
    <t>Кабель контрольный КВВГнг 10х1,0</t>
  </si>
  <si>
    <t>Кабель контрольный КВВГнг 14х1,0</t>
  </si>
  <si>
    <t>Кабель контрольный КВВБГ 14х1,5</t>
  </si>
  <si>
    <t>Кабель контрольный КВВБГ 19х1,5</t>
  </si>
  <si>
    <t>Кабель контрольный КВВГЭнг 4х1,0</t>
  </si>
  <si>
    <t>Кабель контрольный КВВГнг 3х1,5</t>
  </si>
  <si>
    <t>Провод с медной жилой повышенной гибкости, с поливинилхлоридной изоляцией марки ПВ3</t>
  </si>
  <si>
    <t>1000м</t>
  </si>
  <si>
    <t>Патч-корд "витая пара" FТР САТ.5/5Е, RJ45 н/экр. - RJ45 экр. 2 м</t>
  </si>
  <si>
    <t>Трубы стальные сварные водогазопроводные с резьбой</t>
  </si>
  <si>
    <t>Металлорукав РЗ-Ц-Х-12 У1</t>
  </si>
  <si>
    <t>Коробка соединительная взрывозащищенная КЗП3.2-16/12-(ВК-12)х3(А)-(ВК- 25)х1(В)-(ВК-12)х3(С)-(ВК-12)х 1(D)-В1,5</t>
  </si>
  <si>
    <t>Коробка соединительная взрывозащищенная КЗП3.2-16/12-(ВК-12)х1(А)-(ВК- 25)х1(В)-(ВК-12)х1(С)-(ВК-12)х 1(D)-В1,5</t>
  </si>
  <si>
    <t>Термочехол для ОУР-ПЛ-1</t>
  </si>
  <si>
    <t>Вентиль манометрический ВМ5х35</t>
  </si>
  <si>
    <t>к заявке на определение способа выбора</t>
  </si>
  <si>
    <t>Непредвиденные расходы</t>
  </si>
  <si>
    <t>ВСЕГО с непредвиденными</t>
  </si>
  <si>
    <t>Короб металлический (оцинкованный): секция прямая СП 100х100х2000 (525); секция угловая СУ 100х100 (24); секция тройниковая СТ 100х100(15)</t>
  </si>
  <si>
    <t>Кабель-канал перфорированный 40х25 СКК50-040-025-1-К03;  40х40 СКК50-040-040-1-К03</t>
  </si>
  <si>
    <t>02-02-02</t>
  </si>
  <si>
    <t>АСУТП ПОЖАРОТУШЕНИЯ И ВОДОСНАБЖЕНИЯ</t>
  </si>
  <si>
    <t>Термопреобразователь ТСМУ Метран-274-02-ЕХiА-400</t>
  </si>
  <si>
    <t>Преобразователь магнитный поплавковый ПМП-152-3W5-НА-Н-В-2750-630-НР</t>
  </si>
  <si>
    <t>35.1.</t>
  </si>
  <si>
    <t>Термопреобразователь ТСМУ Метран-274-02-400</t>
  </si>
  <si>
    <t>Приборы, устанавливаемые на фланцевых соединениях.  -- Монтаж датчика КДТ-200.1</t>
  </si>
  <si>
    <t>Гильза защитная 2001-02-М20х1,5-Н-400</t>
  </si>
  <si>
    <t xml:space="preserve"> Монтаж.Гильза защитная 2001-02-М20х1,5-Н10-400</t>
  </si>
  <si>
    <t>02-03-01</t>
  </si>
  <si>
    <t xml:space="preserve">ЛИНИЯ ПЕРЕДАЧИ ДАННЫХ. </t>
  </si>
  <si>
    <t>Шасси оптических конвертеров DМС-1000</t>
  </si>
  <si>
    <t>Конвертер оптический DМС-1910Т</t>
  </si>
  <si>
    <t>Конвертер оптический DМС-1910R</t>
  </si>
  <si>
    <t>Шасси оптических конвертеров DMC-1000</t>
  </si>
  <si>
    <t xml:space="preserve"> Монтаж.Конвертеры оптические DMC-1910Т, DMC-1910R</t>
  </si>
  <si>
    <t>Кабель, прокладываемы в трубах, блоках или коробах</t>
  </si>
  <si>
    <t>Разъем SС</t>
  </si>
  <si>
    <t>Кабель оптический ЭКБ-ДПО-П-4А 1,5кН</t>
  </si>
  <si>
    <t>Отдельные конструктивные элементы зданий и сооружений с преобладанием толстолистовой стали, средняя масса сборочной единицы до 0,5 т из стали С345-1(лист 10)</t>
  </si>
  <si>
    <t>100м3</t>
  </si>
  <si>
    <t>Забивка бетоном В20 оголовника ОМ1 с Приготовлением тяжелого бетона на щебне класса В 20</t>
  </si>
  <si>
    <t xml:space="preserve">Монтаж балок,прогонов при шаге ферм до 12 м с Изготовлением  стоек со стоимостью отдельных конструктивных элементов </t>
  </si>
  <si>
    <t xml:space="preserve">Очистка  щетками, обеспыливание, обезжиривание поверхности металлоконструкций </t>
  </si>
  <si>
    <t>37.</t>
  </si>
  <si>
    <t>ПУСКО-НАЛАДОЧНЫЕ РАБОТЫ</t>
  </si>
  <si>
    <t>Огрунтовка металлических поверхностей за один раз грунтовкой ГФ-021</t>
  </si>
  <si>
    <t>Окраска металлических огрунтованных поверхностей эмалью ПФ-115 в два слоя</t>
  </si>
  <si>
    <t xml:space="preserve">Монтаж опорных стоек Ст1 и Прогонов при шаге ферм до 12 м с Изготовлением  стоек со стоимостью отдельных конструктивных элементов </t>
  </si>
  <si>
    <t>Монтаж связей и распорок из одиночных и парных уголков, для пролетов до 24 м при высоте здания до 25 м.Связь Св1со стоимостью</t>
  </si>
  <si>
    <t>Монтаж стропильных и подстропильных ферм на высоте до 25 м пролетом до 24 м массой до 3,0 т со стоимостью</t>
  </si>
  <si>
    <t>Корректир. данные предоставлены институтом</t>
  </si>
  <si>
    <t>Монтаж кровельного покрытия из профилированного листа при высоте здания до 25 м со стоимостью</t>
  </si>
  <si>
    <t>Разработка грунта с перемещением до 10 м бульдозерами мощностью 59 (80) кВт (л.с.), 2 группа грунтов</t>
  </si>
  <si>
    <t>1000м3</t>
  </si>
  <si>
    <t>Устройство бетонного основания с приготовлением тяжелого бетона на щебне класса В 20</t>
  </si>
  <si>
    <t>Устройство гидроизоляции оклеечной рулонными материалами на резино-битумной мастикена 2 слоя со стоимосью мателиалов</t>
  </si>
  <si>
    <t>Устройство монолитной железобетонной площадки ПОМ2.1 и приготовлением  тяжелого бетона на щебне класса В 15</t>
  </si>
  <si>
    <t>1</t>
  </si>
  <si>
    <t>Материалы</t>
  </si>
  <si>
    <t>в том числе:</t>
  </si>
  <si>
    <t xml:space="preserve">Перечень оборудования </t>
  </si>
  <si>
    <t>Всего</t>
  </si>
  <si>
    <t>Покрытие поверхности изоляции трубопроводов сталью оцинкованной</t>
  </si>
  <si>
    <t>Огрунтовка металлических поверхностей за один раз грунтовкой ГФ-021.Опозновательная окраска по покровному слою</t>
  </si>
  <si>
    <t>Окраска металлических огрунтованных поверхностей эмалью ПФ-115 за 2 раза.Опозновательная окраска по покровному слою</t>
  </si>
  <si>
    <t>02-01-21</t>
  </si>
  <si>
    <t>02-02-01</t>
  </si>
  <si>
    <t>Термометр биметаллический общепромышленный ТБ-1(0-100)-1,5-160-10-М20</t>
  </si>
  <si>
    <t>Термопреобразователь ТСМУ Метран-274-02-ЕХiА-160</t>
  </si>
  <si>
    <t>Термопреобразователь ТСМУ Метран-274-02-ЕХiА-250</t>
  </si>
  <si>
    <t>Термопреобразователь ТСМУ Метран-274-02-ЕХiА-60</t>
  </si>
  <si>
    <t>Датчик температуры накладной для измерения температуры поверхности трубопроводов КДТ-200.1</t>
  </si>
  <si>
    <t>Манометр показывающий МП4-У</t>
  </si>
  <si>
    <t>Манометр показывающий сигнализирующий во взрывозащищенном исполнении ДМ2005Сr1ЕХ</t>
  </si>
  <si>
    <t>Датчик давления тензорезистивный РМР51-90Н7/101 в комплекте: преобразователь давления СЕrАВАr М РМР51, 2-х вентильныЙ блок 2052СDАDАВАА, переходник С0520/34/01</t>
  </si>
  <si>
    <t>Преобразователь магнитный поплавковый ПМП-152-W5-В-1655-НР</t>
  </si>
  <si>
    <t>Преобразователь магнитный поплавковый ПМП-152-2W5-Н-В-3140-1855-НР</t>
  </si>
  <si>
    <t>Преобразователь магнитный поплавковый ПМП-152-W5-В-1220-НР</t>
  </si>
  <si>
    <t>Преобразователь магнитный поплавковый ПМП-152-2W5-Н-В-3700-1420-НР</t>
  </si>
  <si>
    <t>Ротаметр Н250/М9</t>
  </si>
  <si>
    <t>Датчик расхода ДРГ.МЗЛ-100</t>
  </si>
  <si>
    <t>Датчик расхода конденсатоустойчивый ДРГ.М-2500 в комплекте: датчик давления АИР-20, датчик температуры ТСПУ, КМЧ</t>
  </si>
  <si>
    <t>Датчик расхода ДРГ.М-160 конденсатоустойчивый в комплекте: датчик давления АИР-20, датчик температуры ТСПУ, КМЧ</t>
  </si>
  <si>
    <t>Датчик расхода ДРС-25Г в комплекте с блоком преобразования измерительным БПИ.01.1 и КМЧ</t>
  </si>
  <si>
    <t>Детектор горючих газов SЕnsЕРОinТ (в комплекте с контроллером СГМ-110, модулем архивирования и программирования МАП-СГМ-110/D)</t>
  </si>
  <si>
    <t>Обогреватель ОУР-ПЛ-1</t>
  </si>
  <si>
    <t>Пост управления кнопочный взрывозащищенный ВУУК-1КН</t>
  </si>
  <si>
    <t>КОМПЛЕКСЫ СРЕДСТВ АВТОМАТИЗАЦИИ</t>
  </si>
  <si>
    <t>СУ РСУТП</t>
  </si>
  <si>
    <t>Шкаф Риттал (800х2200х600 мм) арт.№ ТS 8826.500</t>
  </si>
  <si>
    <t>Процессор СОnТrОlLОgiХ 1756-L63</t>
  </si>
  <si>
    <t>Шасси на 10 слотов 1756-А10</t>
  </si>
  <si>
    <t>Шасси на 7 слотов 1756-А7</t>
  </si>
  <si>
    <t>Источник питания панелей контроллера 1756-РА75/В</t>
  </si>
  <si>
    <t>Модуль связи ЕТНЕrNЕТ/IР 1756-ЕNВТ</t>
  </si>
  <si>
    <t>Модуль связи СОnТrОlNЕТ 1756-СNВR</t>
  </si>
  <si>
    <t>Модуль аналоговых входных сигналов 1756-IF16</t>
  </si>
  <si>
    <t>Модуль дискретных входов 10-30V пост. тока 1756-IВ32</t>
  </si>
  <si>
    <t>Модуль дискретных входов 159-265V перем. тока 1756-IМ161</t>
  </si>
  <si>
    <t>Модуль дискретных выходов 220V перем. тока 1756-ОХ81</t>
  </si>
  <si>
    <t>Модуль связи по протоколу МОdВus</t>
  </si>
  <si>
    <t>Модуль-заглушка 1756-N2</t>
  </si>
  <si>
    <t>Карта памяти 64 МВ 1784-СF64</t>
  </si>
  <si>
    <t>Колодка клеммная на 36 винтовых клемм 1756-ТВСН</t>
  </si>
  <si>
    <t>Т-ответвитель прямой 1786-ТRS</t>
  </si>
  <si>
    <t>Терминатор сегмента оконечный 1786-ХТ</t>
  </si>
  <si>
    <t>СУ ПАЗ</t>
  </si>
  <si>
    <t>Модуль дискретных выходов 24 V пост. тока 1756-ОВ16D</t>
  </si>
  <si>
    <t>ШКАФ КОМПЬЮТЕРНОГО ОБОРУДОВАНИЯ ШКО №1</t>
  </si>
  <si>
    <t>Сетевой шкаф RiТТАl Арт.№ ТЕ 4000.850</t>
  </si>
  <si>
    <t>Блок вентиляторов с 2-мя вентиляторами и термостатом Арт. № ТЕ 7000.670</t>
  </si>
  <si>
    <t>Приборная полка для тяжелого оборудования Атр. № 7063.897</t>
  </si>
  <si>
    <t>Монтажный комплект с изменяемой глубиной Арт. № 7063.890</t>
  </si>
  <si>
    <t>Сервер ввода-вывода НР РrОLiАnТ DL380 G6 SЕrvЕr sЕriЕs</t>
  </si>
  <si>
    <t>Коммутационный процессор СР5613 А2</t>
  </si>
  <si>
    <t>Сервер-WЕВ SТrАТus fТSЕrvЕr 2600</t>
  </si>
  <si>
    <t>Сервер баз данных SТrАТus fТSЕrvЕr 2600</t>
  </si>
  <si>
    <t>Переключатель клавиатуры АТЕN СL1008</t>
  </si>
  <si>
    <t>Коммутатор СisСО С3750G-24NS</t>
  </si>
  <si>
    <t>ШКАФ КОМПЬЮТЕРНОГО ОБОРУДОВАНИЯ ШКО №2</t>
  </si>
  <si>
    <t>Системный блок 19" IRОВО-2000-4335</t>
  </si>
  <si>
    <t>Удлинитель монитор-клавиатура АddЕr-linК-Х-usВ-А</t>
  </si>
  <si>
    <t>Патч-панель РР-19-24-8Р8С-С5е-110D</t>
  </si>
  <si>
    <t>ЭЛЕКТРОАППАРАТЫ, УСТАНАВЛИВАЕМЫЕ В ЩИТАХ, ПУЛЬТАХ, СТАТИВАХ</t>
  </si>
  <si>
    <t>Вентилятор потолдочный радиальный RiТТАl атр.№ SК 3149.007</t>
  </si>
  <si>
    <t>Терморегулятор RiТТАl арт.№ SК 3110.000</t>
  </si>
  <si>
    <t>Реле ЕМG 17-RЕL/КSR-W230/21-21-LС1 РНОЕniХ СОnТАСТ</t>
  </si>
  <si>
    <t>Блок питания QUINТ-РS-100-24ОАС/24DС/5 РНОЕniХ СОnТАСТ</t>
  </si>
  <si>
    <t>Модуль резервирования QUINТ-DIОDЕ/40 РНОЕniХ СОnТАСТ</t>
  </si>
  <si>
    <t>Искробезопасный усилитель с развязкой по току РI-ЕХ-АIS-I/I</t>
  </si>
  <si>
    <t>Реле РR2-RSС3-LDР-24DС/2Х21 РНОЕniХ СОnТАСТ</t>
  </si>
  <si>
    <t>КШО №1</t>
  </si>
  <si>
    <t>Источник бесперебойного питания АРС SМАrТ-UРS RТ 6000 VА RV 230 V</t>
  </si>
  <si>
    <t>Модуль батарей SURТ192RVХLВР ВАТТЕrУ UniТ</t>
  </si>
  <si>
    <t>КШО №2</t>
  </si>
  <si>
    <t>Термометр биметаллический общепромышленный ТБ-1</t>
  </si>
  <si>
    <t>Термопреобразователь ТСМУ Метран-274-02-Exia</t>
  </si>
  <si>
    <t>Гильза защитная 2001-02</t>
  </si>
  <si>
    <t>Датчик температуры накладной, для измерения температуры поверхности трубопроводов КДТ-200.1</t>
  </si>
  <si>
    <t>Манометр показывающий МП-4У</t>
  </si>
  <si>
    <t>Манометр показывающий сигнализирующий во взрывозащищенном исполнении ДМ2005Cr1Ex</t>
  </si>
  <si>
    <t>Датчик давления тензорезистивный РМР51-90Н7/101 Serabar M PMP51</t>
  </si>
  <si>
    <t>Преобразователь магнитный поплавковый ПМП-152</t>
  </si>
  <si>
    <t>Датчик расхода конденсатоустойчивый ДРГ.М-2500</t>
  </si>
  <si>
    <t>Датчик давления АИР-20, датчик температуры ТСПУ</t>
  </si>
  <si>
    <t>Датчик расхода конденсатоустойчивый ДРГ.М-160</t>
  </si>
  <si>
    <t>Датчик расхода ДРС-25Г</t>
  </si>
  <si>
    <t>Блок преобразования измериретльный БПИ-01.1</t>
  </si>
  <si>
    <t>Контроллер Миконт-186</t>
  </si>
  <si>
    <t>Материалы пост. Заказчика</t>
  </si>
  <si>
    <t>Материалы иждивен. Подрядчика</t>
  </si>
  <si>
    <t>Оборудование Заказчика "в монтаж"</t>
  </si>
  <si>
    <t>Оборудование иждивен. Подрядчика</t>
  </si>
  <si>
    <t>МатЗаказчика</t>
  </si>
  <si>
    <t>ВСЕГО:</t>
  </si>
  <si>
    <t>КРОМЕ ТОГО:</t>
  </si>
  <si>
    <t>Ед. изм.</t>
  </si>
  <si>
    <t>Объем работ в текущем  уровне  цен</t>
  </si>
  <si>
    <t>№ сметных расчетов и смет</t>
  </si>
  <si>
    <t>РАСЧЕТ СТАРТОВОЙ СТОИМОСТИ ЛОТА</t>
  </si>
  <si>
    <t>шт.</t>
  </si>
  <si>
    <t>100м</t>
  </si>
  <si>
    <t>3.1.</t>
  </si>
  <si>
    <t>3.2.</t>
  </si>
  <si>
    <t>3.3.</t>
  </si>
  <si>
    <t>3.4.</t>
  </si>
  <si>
    <t>3.5.</t>
  </si>
  <si>
    <t>1_1</t>
  </si>
  <si>
    <t>02-01</t>
  </si>
  <si>
    <t>02-01-01</t>
  </si>
  <si>
    <t xml:space="preserve">СТРОИТЕЛЬСТВО УСТАНОВКИ ПРЕДВАРИТЕЛЬНОЙ ПОДГОТОВКИ ГАЗА </t>
  </si>
  <si>
    <t>СТРОИТЕЛЬНЫЕ РАБОТЫ ПЛОЩАДКИ ТЕПЛООБМЕННО-СЕПАРАЦИОННЫХ БЛОКОВ (гп п.2)</t>
  </si>
  <si>
    <t>Вырубка бетона из арматурного каркаса железобетонных свай площадью сечения свыше 0,1 м2</t>
  </si>
  <si>
    <t xml:space="preserve">Огрунтовка бетонных поверхностей свай мастикой МБР (2 слоя) со стоимотью мастики </t>
  </si>
  <si>
    <t>Окраска огрунтованных бетонных поверхностей кремнийорганической эмалью КО-198 со сть-тью эмали</t>
  </si>
  <si>
    <t>Монтаж оголовника ОМ1 и Изготовление оголовника в построечных условиях</t>
  </si>
  <si>
    <t>прочие</t>
  </si>
  <si>
    <t>СМР</t>
  </si>
  <si>
    <t>Оборудование</t>
  </si>
  <si>
    <t>№ п/п</t>
  </si>
  <si>
    <t xml:space="preserve">Заделка для контрольного кабеля </t>
  </si>
  <si>
    <t>руб.без НДС</t>
  </si>
  <si>
    <t>т</t>
  </si>
  <si>
    <t>шт</t>
  </si>
  <si>
    <t>м</t>
  </si>
  <si>
    <t>Наименование работ и затрат</t>
  </si>
  <si>
    <t>Количество</t>
  </si>
  <si>
    <t>всего</t>
  </si>
  <si>
    <t xml:space="preserve">шт </t>
  </si>
  <si>
    <t>№</t>
  </si>
  <si>
    <t>100м2</t>
  </si>
  <si>
    <t>Макс цена за е.и.</t>
  </si>
  <si>
    <t>Мин цена за е.и.</t>
  </si>
  <si>
    <t>Монтаж крана.Кран шаровой фланцевый, с ручным управлениям, с ответными фланцами и крепежными изделиями Ду 200мм,Ру</t>
  </si>
  <si>
    <t>Клапан регулирующий проходной с ответными фланцами и крепежными изделиями, из стали 09Г2С, с ручным управлением,класс герметичности "А" Ду-25мм,Ру-2,5МПа</t>
  </si>
  <si>
    <t>Монтаж.Стационарное отсечное устройство под приварку СОУ 50х16-СвШп, Ду-50мм,Ру-1,6МПа; СОУ 80х16-СвШп, Ду-80мм,Ру-1,6МПа;СОУ 100х16-СвШп, Ду-100мм,Ру-1,6МПа</t>
  </si>
  <si>
    <t>Монтаж.Трубы бесшовные холоднодеформированные из коррозионно-стойкой наружным диаметром 45х2,5 мм</t>
  </si>
  <si>
    <t xml:space="preserve"> Контроль стыков. Трубопровод, диаметр, мм 45</t>
  </si>
  <si>
    <t>Монтаж.Трубы бесшовные холоднодеформированные из коррозионно-стойкой наружным диаметром  57х5 мм</t>
  </si>
  <si>
    <t xml:space="preserve"> Контроль стыков. Трубопровод, диаметр,  57мм  Рентгенографический контроль. </t>
  </si>
  <si>
    <t>Трубопроводы из стальных труб Диаметр трубопровода наружный диаметр 219х6 мм</t>
  </si>
  <si>
    <t xml:space="preserve">Контроль стыков. Трубопровод, диаметр,219 мм Рентгенографический контроль. </t>
  </si>
  <si>
    <t>02-01-25</t>
  </si>
  <si>
    <t>02-01-26</t>
  </si>
  <si>
    <t xml:space="preserve">ТРУБОПРОВОД РАСТВОРА ПЕНООБРАЗОВАТЕЛЯ. </t>
  </si>
  <si>
    <t>Головка соединительная всасывающая муфтовая Ду-125мм Ру-0,1МПа (ГМВ-125УХЛ)</t>
  </si>
  <si>
    <t>Головка-заглушка соединительная всасывающая Ду-125мм Ру-0,1МПа (ГЗВ-125УХЛ)</t>
  </si>
  <si>
    <t>Монтаж головок-соединительных, головок-заглушек</t>
  </si>
  <si>
    <t>Монтаж крана.Кран шаровой стальной для жидких и газообразных сред, с ответными фланцами и крепежными изделиями, исполнение У1, Ду-50мм Ру-1,6МПа (11с16нж)КШ. 1-1-50-16-00-12</t>
  </si>
  <si>
    <t>Укладка трубопроводов из полиэтиленовых труб диаметром 65 мм</t>
  </si>
  <si>
    <t>02-01-27</t>
  </si>
  <si>
    <t xml:space="preserve">ВОДОПРОВОД ПРОТИВОПОЖАРНЫЙ. </t>
  </si>
  <si>
    <t>Головка соединительная напорная муфтовая Ду-80мм, Ру-1,6МПа (ГМ-80УХЛ)</t>
  </si>
  <si>
    <t>Головка-заглушка Ду-80мм, Ру-0,1МПа (ГЗ-80УХЛ)</t>
  </si>
  <si>
    <t>Флюоресцентный указатель размером 300х300</t>
  </si>
  <si>
    <t>Флюоресцентный указатель размером 550х700</t>
  </si>
  <si>
    <t>27.2.</t>
  </si>
  <si>
    <t>задвижка</t>
  </si>
  <si>
    <t>Установка задвижек или клапанов обратных стальных диаметром 80 мм, 200мм</t>
  </si>
  <si>
    <t>Укладка стальных водопроводных труб с гидравлическим испытанием диаметром 89 мм, 219 мм</t>
  </si>
  <si>
    <t>ИЗОЛЯЦИЯ ТРУБОПРОВОДОВ</t>
  </si>
  <si>
    <t>Установка фасонных частей стальных сварных диаметром 100-250 мм. Монтаж опор пожвижных</t>
  </si>
  <si>
    <t>Окраска металлических огрунтованных поверхностей краской БТ-177 за два раза</t>
  </si>
  <si>
    <t>Устройство пароизоляционного слоя из пленки полиэтиленовой толщиной 0,5 мм в один слой</t>
  </si>
  <si>
    <t>02-01-28</t>
  </si>
  <si>
    <t>КАНАЛИЗАЦИЮ ПРОИЗВОДСТВЕННО-ДОЖДЕВУЮ</t>
  </si>
  <si>
    <t>ЗАДВИЖКИ И ЗАПОРНАЯ АРМАТУРА</t>
  </si>
  <si>
    <t>Установка задвижек или клапанов обратных стальных диаметром 200 мм</t>
  </si>
  <si>
    <t>ТРУБОПРОВОДЫ</t>
  </si>
  <si>
    <t>Укладка стальных водопроводных труб с гидравлическим испытанием диаметром 219 мм</t>
  </si>
  <si>
    <t>Нанесение усиленной антикоррозионной изоляции полимерными липкими лентами (Полилен-40-ЛИ-63, Полилен-ОБ) стальных трубопроводов диаметром 219 мм</t>
  </si>
  <si>
    <t>Изоляция поверхностей трубопроводов штучными изделиями из пенополиуретана ("Пеноплекс")</t>
  </si>
  <si>
    <t>02-01-29</t>
  </si>
  <si>
    <t xml:space="preserve">МОНТАЖ СЕТЕЙ ПОЖАРНОЙ СИГНАЛИЗАЦИИ.       </t>
  </si>
  <si>
    <t>Монтаж кабеля до 35 кВ в проложенных трубах, блоках и коробах.Кабель контрольный КВВГнг-FRLS 4х1,0</t>
  </si>
  <si>
    <t>Рукав металлический, наружный диаметр, мм, до 48 со стоимостью материалов</t>
  </si>
  <si>
    <t>02-01-30</t>
  </si>
  <si>
    <t xml:space="preserve">ЭЛЕКТРООБОГРЕВ ТРУБОПРОВОДОВ. </t>
  </si>
  <si>
    <t>Шкаф управления системой обогрева ЩТ1</t>
  </si>
  <si>
    <t>Блок управления шкафного исполнения или распределительный пункт (шкаф), устанавливаемый на стене, высота и ширина, мм, до 1200х1000</t>
  </si>
  <si>
    <t>Монтаж. Коробка (ящик) с зажимами для кабелей и проводов сечением до 6 мм2. Коробка соединительная взрывозащищенная (2ЕХЕIIТ5) КЗГП-ВЭЛ-2.2-25/3-1/РЕ-СК-ВК-Л -ВЭЛЗ-М25х1,5-В1,5</t>
  </si>
  <si>
    <t xml:space="preserve"> Монтаж. Коробка для подключения греющих кабелей, до 6 зажимов (КЗГП-ВЭЛ-2.2-25/5)  Коробка (2ЕХЕIIТ5) КЗГП-ВЭЛ-2.2-25/5-2/РЕ-СК-(ВК- Л-ВЭЛЗ-М25х1,5)[1(А)-В1,5</t>
  </si>
  <si>
    <t>Монтаж саморегулирующей нагревательной ленты. Саморегулируемый параллельный греющий кабель НSВ15, 25, 30, 45</t>
  </si>
  <si>
    <t>Монтаж хомутов</t>
  </si>
  <si>
    <t>Концевая заделка для греющего кабеля</t>
  </si>
  <si>
    <t>Труба по установленным конструкциям, по стенам. Шланг электромонтажный, наружный диаметр, мм, до 48.Металлоконструкции</t>
  </si>
  <si>
    <t>Кабели до 35 кв в проложенных трубах, блоках и коробах .Кабели до 35 кВ по установленным конструкциям и лоткам с креплением на поворотах.</t>
  </si>
  <si>
    <t>Заделки концевая сухие для 3-4-жильного кабеля с пластмассовой и резиновой изоляцией.</t>
  </si>
  <si>
    <t>Крепежный материал</t>
  </si>
  <si>
    <t>компл</t>
  </si>
  <si>
    <t>Кабель силовой с медной жилой, пониженной горючести ВВГнг-0,66 3х2,5</t>
  </si>
  <si>
    <t>Кабель силовой с медной жилой, пониженной горючести ВВГнг-0,66 5х2,5</t>
  </si>
  <si>
    <t>Кабель силовой с медной жилой, пониженной горючести ВВГнг-0,66 5х50</t>
  </si>
  <si>
    <t>02-01-11</t>
  </si>
  <si>
    <t xml:space="preserve">СТРОИТЕЛЬНЫЕ РАБОТЫ ПРОЖЕКТОРНОЙ МАЧТЫ (ГП ПП. 9.1, 9.2). </t>
  </si>
  <si>
    <t>Погружение дизель-молотомжелезобетонных свай длиной до 12 м.Сваи железобетонные С35.12-2</t>
  </si>
  <si>
    <t>Монтаж оголовника М42.Изготовление оголовника в построечных условиях со ст-тью материалов</t>
  </si>
  <si>
    <t>Установка стальных прожекторных мачт с площадками и лестницей, тросостойкой и молниеотводом со ст-тью материалов</t>
  </si>
  <si>
    <t>02-01-12</t>
  </si>
  <si>
    <t>ЭЛЕКТРООБОРУДОВАНИЕ ПРОЖЕКТОРНОЙ МАЧТЫ (ГП ПП. 9.1, 9.2).</t>
  </si>
  <si>
    <t>Выключатели пакетный ПВ4-16 М1-пл. 56, пластмассовый корпус</t>
  </si>
  <si>
    <t>Коробка клеммная КЗНС08-16-УТ1</t>
  </si>
  <si>
    <t>Прожектор "Прометей" ЖО29-400-У1</t>
  </si>
  <si>
    <t>Прожектор "Прометей" ЖО29-400-У1. Натриевая лампа высокого давления ДНаТ-400-5</t>
  </si>
  <si>
    <t xml:space="preserve">Рукав, наружный диаметр, мм, до 48 - Шланг электромонтажный ШЭМ32. </t>
  </si>
  <si>
    <t xml:space="preserve">Труба по фермам, колоннам и другим стальным конструкциям, диаметр, мм, до 40. </t>
  </si>
  <si>
    <t>Кабели до 35 кВ в проложенных трубах, блоках и коробах, масса 1 м, кг, до 1</t>
  </si>
  <si>
    <t>Заделка концевая для 3-4-жильного кабеля с пластмассовой и резиновой изоляцией сечение одной жилы, мм2, до 35 (ЗАДЕЛКИ КОНЦЕВЫЕ СУХИЕ)</t>
  </si>
  <si>
    <t>Натриевая лампа высокого давления ДНаТ-400-5</t>
  </si>
  <si>
    <t>Кабель силовой с медной жилой, не распространяющий горение ВВГнг-0,66 кВ 5х2,5 мм2</t>
  </si>
  <si>
    <t>Кабели силовые переносные с гибкими медными жилами в резиновой оболочке марки КГ, с числом жил - 3 и сечением 1.5 мм2</t>
  </si>
  <si>
    <t>Трубы стальные сварные водогазопроводные с резьбой черные легкие (неоцинкованные) диаметр условного прохода 25 мм, толщина стенки 2.8 мм</t>
  </si>
  <si>
    <t>Сальник привертный У262 ХЛ2</t>
  </si>
  <si>
    <t>Профиль монтажный К241 ХЛ1, L 2000мм</t>
  </si>
  <si>
    <t>Шланг электромонтажный ШЭМ32У2,5</t>
  </si>
  <si>
    <t>Муфта трубная МТ32 У2,5</t>
  </si>
  <si>
    <t>Полоска-пряжка : К398 УХЛ2</t>
  </si>
  <si>
    <t>МАТЕРИАЛЫ</t>
  </si>
  <si>
    <t>10 шт</t>
  </si>
  <si>
    <t>02-01-13</t>
  </si>
  <si>
    <t>СТРОИТЕЛЬНЫЕ РАБОТЫ ОСНОВАНИЯ ПОД БЛОК-БОКС ДЛЯ ХРАНЕНИЯ ПОЖАРНОГО ИНВЕНТАРЯ (ГП П. 10). ЭЛЕКТРООБОРУДОВАНИЕ ПРОЖЕКТОРНОЙ МАЧТЫ (ГП ПП. 9.1, 9.2).</t>
  </si>
  <si>
    <t>Погружение дизель-молотом железобетонных свай длиной до 6 м .Сваи железобетонные С60.30-8</t>
  </si>
  <si>
    <t>1 м3</t>
  </si>
  <si>
    <t>Монтаж пандуса Пд1.Изготовление пандуса Пд1 в построечных условиях со ст-тью материалов</t>
  </si>
  <si>
    <t xml:space="preserve">ПРИОБРЕТЕНИЕ И МОНТАЖ БЛОК-БОКСА ДЛЯ ХРАНЕНИЯ ПОЖАРНОГО ИНВЕНТАРЯ (ГП П.10). </t>
  </si>
  <si>
    <t>02-01-14</t>
  </si>
  <si>
    <t>Блок-бокс для хранения пожарного инвентаря</t>
  </si>
  <si>
    <t>Пенообразователь АFFF</t>
  </si>
  <si>
    <t>Огнетушитель переносной воздушно-пенный ОВП(с)-10(з)</t>
  </si>
  <si>
    <t>Огнетушитель переносной порошковый ОП-5(з)</t>
  </si>
  <si>
    <t>1.3.</t>
  </si>
  <si>
    <t>Монтаж оборудования на открытой площадке, масса т 10</t>
  </si>
  <si>
    <t>МАТЕРИАЛЫ и инструменты</t>
  </si>
  <si>
    <t>СТРОИТЕЛЬНЫЕ РАБОТЫ ОСНОВАНИЯ ПОД РЕЗЕРВУАР ПРОТИВОПОЛОЖНОГО ЗАПАСА ВОДЫ, V-100 м3 (ГП П. 11).</t>
  </si>
  <si>
    <t>02-01-15</t>
  </si>
  <si>
    <t>Погружение дизель-молотом  железобетонных свай длиной до 12 м в грунты группы: 2.Сваи железобетонные С100.30-8</t>
  </si>
  <si>
    <t>Монтаж распорок РС1 из одиночных и парных уголков, гнутосварных профилей,труб для пролетов до 24 м при высоте здания до 25 м. Марка стали С345, С345к, С345Т1.Изготовление распорок в построечных условиях.</t>
  </si>
  <si>
    <t xml:space="preserve">ПРИОБРЕТЕНИЕ И МОНТАЖ РЕЗЕРВУАРА ПРОТИВОПОЖАРНОГО ЗАПАСА ВОДЫ, V-100 м3 (ГП П. 11). </t>
  </si>
  <si>
    <t>Стоимость резервуара горизонтального стального цилиндрического есмкостью 100м3 в северном исполнении в комплекте с оборудованием (РГСН100-09Г2С-1)</t>
  </si>
  <si>
    <t>02-01-16</t>
  </si>
  <si>
    <t>Монтаж оборудования на открытой площадке, масса 6,320 т</t>
  </si>
  <si>
    <t>ПРОТИВОКОРРОЗИЙНАЯ ЗАЩИТА ВНУТРЕННЕЙ ПОВЕРХНОСТИ РЕЗЕРВУАРА</t>
  </si>
  <si>
    <t>Очистка металлическим песком внутренней поверхности оборудования и труб диаметром более 500 мм. Выполнение работ с лесов, подмостей, люлек, лестниц внутри аппаратов и емкостей при диаметре (ширине) свыше 4 м</t>
  </si>
  <si>
    <t xml:space="preserve">Обеспыливание поверхности. </t>
  </si>
  <si>
    <t>Обезжиривание поверхностей аппаратов и трубопроводов диаметром свыше 500 мм уайт-спиритом.</t>
  </si>
  <si>
    <t xml:space="preserve">Покрытие внутренней поверхности резервуара грунтовкой Б-ЭП-0261 в два слоя. </t>
  </si>
  <si>
    <t>Окраска внутренней поверхности резервуара эмалью Б-ЭП-610 (ЭПОБЕН) в три слоя.</t>
  </si>
  <si>
    <t>ТЕПЛОИЗОЛЯЦИЯ РЕЗЕРВУАРА</t>
  </si>
  <si>
    <t>1м3</t>
  </si>
  <si>
    <t>Теплоизоляция резервуара теплоизоляционными плитами из минеральной ваты на синтетическом связующем марки 125 толщиной 80 мм. Производство работ на высоте до 15 м</t>
  </si>
  <si>
    <t>Огрунтовка металлических поверхностей за один раз грунтовкой ВЛ-023</t>
  </si>
  <si>
    <t>Окраска металлических огрунтованных поверхностей эмалью "Эвикор" в три слоя</t>
  </si>
  <si>
    <t xml:space="preserve">СТРОИТЕЛЬНЫЕ РАБОТЫ ОПОР ПОД ИНЖЕНЕРНЫЕ СЕТИ. </t>
  </si>
  <si>
    <t>ОПОРЫ ПОД ЭЛЕКТРИЧЕСКИЕ СЕТИ - 56ШТ.</t>
  </si>
  <si>
    <t>02-01-17</t>
  </si>
  <si>
    <t>Погружение дизель-молотом  стальных свай шпунтового ряда , длиной свыше 8 м.Стоимость отдельных конструктивных элементов до 0,5 т из стали С255(лист 6)</t>
  </si>
  <si>
    <t>Трубы стальные электросварные  наружный диаметр 219х8 мм из стали 09Г2С</t>
  </si>
  <si>
    <t>Трубы стальные электросварные прямошовные  наружный диаметр 159х8 мм из стали 09Г2С</t>
  </si>
  <si>
    <t>Монтаж лотков, решеток, затворов из полосовой и тонколистовой стали.Монтаж опорной пластины .Изготовление опорной пластины в построечных условиях.</t>
  </si>
  <si>
    <t>Трубы стальные электросварные прямошовные  наружный диаметр 219х8 мм из стали 09Г2С</t>
  </si>
  <si>
    <t>Монтаж стоек. Изготовление стоек в построечных условиях.Стоимость отдельных конструктивных элементов преобладанием толстолистовой стали : С255(швеллер 10); уголок 63х5;(лист 8); (лист 6);(лист 4) .</t>
  </si>
  <si>
    <t>ОПОРЫ ПОД ИНЖЕНЕРНЫЕ СЕТИ - 131ШТ.</t>
  </si>
  <si>
    <t>Трубы стальные электросварные прямошовные наружный диаметр 108х5,5 мм из стали 09Г2С</t>
  </si>
  <si>
    <t>Погружение дизель-молотом  стальных свай шпунтового ряда , длиной свыше 8 м.Стоимость отдельных конструктивных элементов до 0,5 т из стали  С345-1(лист 8); С345-1((лист 6); С255(лист 4).</t>
  </si>
  <si>
    <t>Монтаж стоек. Изготовление стоек в построечных условиях.Стоимость отдельных конструктивных элементов преобладанием толстолистовой стали : С255(лист 4)</t>
  </si>
  <si>
    <t>Монтаж прогонов при шаге ферм до 12 м при высоте здания до 25 м.Монтаж балок.Марка стали С345, С345к, С345Т1,Изготовление балок в построечных условиях со ст-тью маталлоконструкций</t>
  </si>
  <si>
    <t>СТОЙКА СИГНАЛИЗАЦИИ СС1;СС2 - 5ШТ.</t>
  </si>
  <si>
    <t>Устройство бетонных плитных тротуаров Плиты бетонные и цементно-песчаные для тротуаров, марки 300,(8К.10)</t>
  </si>
  <si>
    <t>Монтаж стоек в пробуреную скважену и изготовление стоек в построечных условиях ст-тью маталлоконструкций</t>
  </si>
  <si>
    <t>ОСНОВАНИЕ ОШ1 ДЛЯ УТЕПЛЕННОГО ШКАФА- 2ШТ.</t>
  </si>
  <si>
    <t>Устройство бетонных плитных тротуаров Плиты бетонные и цементно-песчаные для тротуаров,  марки 300,(7К.8)</t>
  </si>
  <si>
    <t>ЭЛЕКТРИЧЕСКИЙ ПЕРЕХОД ПЭ1 - 1ШТ.</t>
  </si>
  <si>
    <t>Монтаж перехода ПЭ1. Изготовление перехода в построечных условиях ст-тью маталлоконструкций</t>
  </si>
  <si>
    <t>СПУСК ЭЛЕКТРИЧЕСКИЙ СК1-1ШТ.</t>
  </si>
  <si>
    <t>Монтаж спуска Изготовление спусков в построечных условиях ст-тью маталлоконструкций</t>
  </si>
  <si>
    <t>СТРОИТЕЛЬНЫЕ РАБОТЫ ПЛОЩАДОК ОБСЛУЖИВАНИЯ.</t>
  </si>
  <si>
    <t>02-01-18</t>
  </si>
  <si>
    <t>.ПЛОЩАДКА ОБСЛУЖИВАНИЯ ПО1 - 1ШТ.</t>
  </si>
  <si>
    <t>Погружение дизель-молотом  стальных свай шпунтового ряда , длиной свыше 8 м.Стоимость отдельных конструктивных элементов до 0,5 т из стали   С345-1(лист 10)</t>
  </si>
  <si>
    <t>Монтаж настила с ограждением. Изготовление настила с ограждением в построечных условиях. Стоимость металлоконструкций</t>
  </si>
  <si>
    <t>Монтаж лестниц прямолинейных Изготовление лестниц построечных условиях. Стоимость металлоконструкций</t>
  </si>
  <si>
    <t>ПЛОЩАДКИ ОБСЛУЖИВАНИЯ ПО2,ПО4 - 2ШТ.</t>
  </si>
  <si>
    <t>Погружение дизель-молотом, длиной до 8 м в грунты группы 1Стоимость отдельных конструктивных элементов до 0,5 т из стали   С345-1(лист 10)</t>
  </si>
  <si>
    <t>Монтаж лотков, решеток, затворов из полосовой и тонколистовой стали.Монтаж опорной пластины .Изготовление опорной пластины в построечных условиях из стали С255(лист 10)</t>
  </si>
  <si>
    <t>Монтаж площадок с ограждением. Изготовление настила с ограждением в построечных условиях. Стоимость металлоконструкций</t>
  </si>
  <si>
    <t>.ПЛОЩАДКИ ОБСЛУЖИВАНИЯ ПО3,ПО7 - 2ШТ.</t>
  </si>
  <si>
    <t>Монтаж прогонов при шаге ферм до 12 м при высоте здания до 25 м.Монтаж балок.Марка стали С345, С345к, С345Т1,Изготовление балок в построечных условиях со ст-тью маталлоконструкций из стали С345-1(швеллер 14У)</t>
  </si>
  <si>
    <t>Монтаж стоек. Изготовление стоек в построечных условиях.Стоимость отдельных конструктивных элементов преобладанием толстолистовой стали : из сталиС255(лист 4)</t>
  </si>
  <si>
    <t>ПЛОЩАДКА ОБСЛУЖИВАНИЯ ПО5,ПО6 - 2ШТ.</t>
  </si>
  <si>
    <t>100 ям</t>
  </si>
  <si>
    <t>Заполнение бетоном пустот между телом стойки и стенкой скважины .Приготовление тяжелого бетона на щебне класса В 7,5</t>
  </si>
  <si>
    <t>02-01-19</t>
  </si>
  <si>
    <t>СТРОИТЕЛЬНЫЕ РАБОТЫ ПО УСТРОЙСТВУ КОЛОДЦЕВ</t>
  </si>
  <si>
    <t>КОЛОДЦЫ С ЗАДВИЖКОЙ К2,К3 - 2ШТ.</t>
  </si>
  <si>
    <t>Монтаж металлоконструкций колодцев. Изготовление колодцев в построечных условиях</t>
  </si>
  <si>
    <t>Огрунтовка наружней и внутренней металлической поверхности колодцев за один раз грунт-шпатлевкой ЭП-0010.Окраска эмалью ЭП-773 в 3 слоя</t>
  </si>
  <si>
    <t>Заделка сальников при проходе труб через фундаменты</t>
  </si>
  <si>
    <t>Монтаж опор. Изготовление опор</t>
  </si>
  <si>
    <t xml:space="preserve">Установка люка. Люки канализационные Л(А15)-К.1-60. </t>
  </si>
  <si>
    <t>УСТРОЙСТВО КОЛОДЦА К4,К5 - 2ШТ.</t>
  </si>
  <si>
    <t>УСТРОЙСТВО КОЛОДЦА К1 - 1ШТ.</t>
  </si>
  <si>
    <t>Установка люка. Люки канализационные Л(А15)-К.1-60</t>
  </si>
  <si>
    <t>УСТРОЙСТВО ДОЖДЕПРИЕМНОГО КОЛОДЦА Д1,Д2 - 2ШТ.</t>
  </si>
  <si>
    <t>ТЕХНОЛОГИЧЕСКИЕ ТРУБОПРОВОДЫ.</t>
  </si>
  <si>
    <t>02-01-20</t>
  </si>
  <si>
    <t>Арифметическая ошибка</t>
  </si>
  <si>
    <t xml:space="preserve">Стоимость принята аналогичной подстанции 2КТПП-БМ-2500/10/0,4 с заменой трансформаторов </t>
  </si>
  <si>
    <t>г.Тюмень, Сибкомплектмонтаж</t>
  </si>
  <si>
    <t>г.Тюмень, Сибнефтемаш</t>
  </si>
  <si>
    <t>г.Курган, ОАО "АК Корвет"</t>
  </si>
  <si>
    <t>г.Москва ООО "Нефтегазовые системы"</t>
  </si>
  <si>
    <t>Ориентировочно по интернету</t>
  </si>
  <si>
    <t>По телефонному разговору</t>
  </si>
  <si>
    <t>ОАО "Благовещенский армат.з-д"</t>
  </si>
  <si>
    <t xml:space="preserve"> Кран шаровой фланцевый, с ручным управлениям, с ответными фланцами и крепежными изделиями Ду 200мм,Ру</t>
  </si>
  <si>
    <t xml:space="preserve"> Кран шаровой фланцевый, с ручным управлениям, с ответными фланцами и крепежными изделиями Ду 50мм,Ру</t>
  </si>
  <si>
    <t>Всего текущ.</t>
  </si>
  <si>
    <t>+</t>
  </si>
  <si>
    <t>база оборуд/1,0997</t>
  </si>
  <si>
    <t>Заполнение бетоном пустот между телом стойки и стенкой скважины .Приготовление тяжелого бетона на щебне класса В 7,5 со ст-тью материалов</t>
  </si>
  <si>
    <t>УСТРОЙСТВО УКРЫТИЯ У1 -3ШТ.</t>
  </si>
  <si>
    <t>Монтаж металлоконструкций укрытия. Изготовление металлоконструкций укрытия в построечных условиях со ст-тью  материалов</t>
  </si>
  <si>
    <t>Обшивка укрытия профлистом с Профнастилом  оцинкованным с покрытием т.0,6 мм(С10-899-06)</t>
  </si>
  <si>
    <t>Изоляция поверхностей плитами минераловатными на синтетическом связующем марки М-125.Изоляция плитами укрытия со ст-тью плит</t>
  </si>
  <si>
    <t>Устройство подстилающих слоев песчаных</t>
  </si>
  <si>
    <t>Устройство бетонных плитных тротуаров с заполнением швов цементным-песчаным раствором М100 состава 1:3(плита тратуарная 8К.10)</t>
  </si>
  <si>
    <t>Установка бортовых камней бетонных(бортовой камень БР100х30х15)</t>
  </si>
  <si>
    <t>Устройство монолитных бетонных участков</t>
  </si>
  <si>
    <t>3.6.</t>
  </si>
  <si>
    <t>м3</t>
  </si>
  <si>
    <t>1.1.</t>
  </si>
  <si>
    <t>1.2.</t>
  </si>
  <si>
    <t>км</t>
  </si>
  <si>
    <t>Признак</t>
  </si>
  <si>
    <t>20.1.9.</t>
  </si>
  <si>
    <t>20.1.10.</t>
  </si>
  <si>
    <t>20.1.11.</t>
  </si>
  <si>
    <t>20.1.12.</t>
  </si>
  <si>
    <t>20.1.13.</t>
  </si>
  <si>
    <t>20.1.14.</t>
  </si>
  <si>
    <t>20.1.15.</t>
  </si>
  <si>
    <t>20.1.16.</t>
  </si>
  <si>
    <t>20.1.17.</t>
  </si>
  <si>
    <t>20.1.18.</t>
  </si>
  <si>
    <t>20.1.19.</t>
  </si>
  <si>
    <t>20.1.20.</t>
  </si>
  <si>
    <t>22.2.1.</t>
  </si>
  <si>
    <t>22.2.2.</t>
  </si>
  <si>
    <t>22.2.3.</t>
  </si>
  <si>
    <t>20.1.</t>
  </si>
  <si>
    <t>20.1.1.</t>
  </si>
  <si>
    <t>20.1.2.</t>
  </si>
  <si>
    <t>20.1.3.</t>
  </si>
  <si>
    <t>20.1.4.</t>
  </si>
  <si>
    <t>20.1.5.</t>
  </si>
  <si>
    <t>20.1.6.</t>
  </si>
  <si>
    <t>20.1.21.</t>
  </si>
  <si>
    <t>20.1.22.</t>
  </si>
  <si>
    <t>20.1.23.</t>
  </si>
  <si>
    <t>20.1.24.</t>
  </si>
  <si>
    <t>20.1.25.</t>
  </si>
  <si>
    <t>20.1.26.</t>
  </si>
  <si>
    <t>20.1.27.</t>
  </si>
  <si>
    <t>20.1.28.</t>
  </si>
  <si>
    <t>20.1.29.</t>
  </si>
  <si>
    <t>20.1.30.</t>
  </si>
  <si>
    <t>20.1.31.</t>
  </si>
  <si>
    <t>20.1.32.</t>
  </si>
  <si>
    <t>20.2.</t>
  </si>
  <si>
    <t>20.2.1.</t>
  </si>
  <si>
    <t>20.2.2.</t>
  </si>
  <si>
    <t>20.2.3.</t>
  </si>
  <si>
    <t>20.2.4.</t>
  </si>
  <si>
    <t>20.2.5.</t>
  </si>
  <si>
    <t>20.2.6.</t>
  </si>
  <si>
    <t>20.2.7.</t>
  </si>
  <si>
    <t>20.2.8.</t>
  </si>
  <si>
    <t>20.2.9.</t>
  </si>
  <si>
    <t>1.</t>
  </si>
  <si>
    <t>1.1.1.</t>
  </si>
  <si>
    <t>1.1.2.</t>
  </si>
  <si>
    <t>1.1.3.</t>
  </si>
  <si>
    <t>1.1.4.</t>
  </si>
  <si>
    <t>1.1.5.</t>
  </si>
  <si>
    <t>1.1.6.</t>
  </si>
  <si>
    <t>1.1.7.</t>
  </si>
  <si>
    <t>1.1.8.</t>
  </si>
  <si>
    <t>1.1.9.</t>
  </si>
  <si>
    <t>1.1.10.</t>
  </si>
  <si>
    <t>1.1.11.</t>
  </si>
  <si>
    <t>1.1.12.</t>
  </si>
  <si>
    <t>1.2.1.</t>
  </si>
  <si>
    <t>1.2.2.</t>
  </si>
  <si>
    <t>1.2.3.</t>
  </si>
  <si>
    <t>1.2.4.</t>
  </si>
  <si>
    <t>1.2.5.</t>
  </si>
  <si>
    <t>1.2.6.</t>
  </si>
  <si>
    <t>1.2.7.</t>
  </si>
  <si>
    <t>1.2.8.</t>
  </si>
  <si>
    <t>1.2.9.</t>
  </si>
  <si>
    <t>1.2.10.</t>
  </si>
  <si>
    <t>1.2.11.</t>
  </si>
  <si>
    <t>1.2.12.</t>
  </si>
  <si>
    <t>1.2.13.</t>
  </si>
  <si>
    <t>1.2.14.</t>
  </si>
  <si>
    <t>1.2.15.</t>
  </si>
  <si>
    <t>1.3.1.</t>
  </si>
  <si>
    <t>1.3.2.</t>
  </si>
  <si>
    <t>1.3.3.</t>
  </si>
  <si>
    <t>1.3.4.</t>
  </si>
  <si>
    <t>1.3.5.</t>
  </si>
  <si>
    <t>2.</t>
  </si>
  <si>
    <t>3.</t>
  </si>
  <si>
    <t>3.7.</t>
  </si>
  <si>
    <t>3.8.</t>
  </si>
  <si>
    <t>3.9.</t>
  </si>
  <si>
    <t>3.10.</t>
  </si>
  <si>
    <t>3.11.</t>
  </si>
  <si>
    <t>3.12.</t>
  </si>
  <si>
    <t>3.13.</t>
  </si>
  <si>
    <t>3.14.</t>
  </si>
  <si>
    <t>4.</t>
  </si>
  <si>
    <t>5.</t>
  </si>
  <si>
    <t>5.1.</t>
  </si>
  <si>
    <t>5.2.</t>
  </si>
  <si>
    <t>5.3.</t>
  </si>
  <si>
    <t>5.4.</t>
  </si>
  <si>
    <t>5.5.</t>
  </si>
  <si>
    <t>5.6.</t>
  </si>
  <si>
    <t>5.7.</t>
  </si>
  <si>
    <t>5.8.</t>
  </si>
  <si>
    <t>5.9.</t>
  </si>
  <si>
    <t>5.10.</t>
  </si>
  <si>
    <t>5.11.</t>
  </si>
  <si>
    <t>5.12.</t>
  </si>
  <si>
    <t>6.</t>
  </si>
  <si>
    <t>7.</t>
  </si>
  <si>
    <t>7.1.</t>
  </si>
  <si>
    <t>7.1.1.</t>
  </si>
  <si>
    <t>7.1.2.</t>
  </si>
  <si>
    <t>7.1.3.</t>
  </si>
  <si>
    <t>7.1.4.</t>
  </si>
  <si>
    <t>7.1.5.</t>
  </si>
  <si>
    <t>7.1.6.</t>
  </si>
  <si>
    <t>7.1.7.</t>
  </si>
  <si>
    <t>7.1.8.</t>
  </si>
  <si>
    <t>7.1.9.</t>
  </si>
  <si>
    <t>7.1.10.</t>
  </si>
  <si>
    <t>7.1.11.</t>
  </si>
  <si>
    <t>7.1.12.</t>
  </si>
  <si>
    <t>7.1.13.</t>
  </si>
  <si>
    <t>7.1.14.</t>
  </si>
  <si>
    <t>7.1.15.</t>
  </si>
  <si>
    <t>7.2.</t>
  </si>
  <si>
    <t>7.2.1.</t>
  </si>
  <si>
    <t>7.2.2.</t>
  </si>
  <si>
    <t>7.2.3.</t>
  </si>
  <si>
    <t>7.2.4.</t>
  </si>
  <si>
    <t>7.2.5.</t>
  </si>
  <si>
    <t>7.2.6.</t>
  </si>
  <si>
    <t>7.2.7.</t>
  </si>
  <si>
    <t>7.2.8.</t>
  </si>
  <si>
    <t>7.2.9.</t>
  </si>
  <si>
    <t>7.2.10.</t>
  </si>
  <si>
    <t>7.2.11.</t>
  </si>
  <si>
    <t>7.2.12.</t>
  </si>
  <si>
    <t>7.2.13.</t>
  </si>
  <si>
    <t>7.2.14.</t>
  </si>
  <si>
    <t>7.2.15.</t>
  </si>
  <si>
    <t>7.2.16.</t>
  </si>
  <si>
    <t>7.2.17.</t>
  </si>
  <si>
    <t>7.2.18.</t>
  </si>
  <si>
    <t>7.3.</t>
  </si>
  <si>
    <t>7.4.</t>
  </si>
  <si>
    <t>7.4.1.</t>
  </si>
  <si>
    <t>7.4.2.</t>
  </si>
  <si>
    <t>7.4.3.</t>
  </si>
  <si>
    <t>7.4.4.</t>
  </si>
  <si>
    <t>7.4.5.</t>
  </si>
  <si>
    <t>7.4.6.</t>
  </si>
  <si>
    <t>7.5.</t>
  </si>
  <si>
    <t>7.5.1.</t>
  </si>
  <si>
    <t>7.5.2.</t>
  </si>
  <si>
    <t>7.5.3.</t>
  </si>
  <si>
    <t>7.5.4.</t>
  </si>
  <si>
    <t>7.5.5.</t>
  </si>
  <si>
    <t>8.</t>
  </si>
  <si>
    <t>8.1.</t>
  </si>
  <si>
    <t>8.1.1.</t>
  </si>
  <si>
    <t>8.1.2.</t>
  </si>
  <si>
    <t>9.</t>
  </si>
  <si>
    <t>9.1.</t>
  </si>
  <si>
    <t>9.1.1.</t>
  </si>
  <si>
    <t>9.1.2.</t>
  </si>
  <si>
    <t>9.2.</t>
  </si>
  <si>
    <t>10.</t>
  </si>
  <si>
    <t>10.1.</t>
  </si>
  <si>
    <t>10.2.</t>
  </si>
  <si>
    <t>10.3.</t>
  </si>
  <si>
    <t>10.4.</t>
  </si>
  <si>
    <t>10.5.</t>
  </si>
  <si>
    <t>10.6.</t>
  </si>
  <si>
    <t>10.7.</t>
  </si>
  <si>
    <t>10.8.</t>
  </si>
  <si>
    <t>10.9.</t>
  </si>
  <si>
    <t>10.10.</t>
  </si>
  <si>
    <t>10.11.</t>
  </si>
  <si>
    <t>10.12.</t>
  </si>
  <si>
    <t>10.13.</t>
  </si>
  <si>
    <t>10.14.</t>
  </si>
  <si>
    <t>11.</t>
  </si>
  <si>
    <t>11.1.</t>
  </si>
  <si>
    <t>11.2.</t>
  </si>
  <si>
    <t>11.3.</t>
  </si>
  <si>
    <t>11.4.</t>
  </si>
  <si>
    <t>11.5.</t>
  </si>
  <si>
    <t>11.6.</t>
  </si>
  <si>
    <t>12.</t>
  </si>
  <si>
    <t>12.1.</t>
  </si>
  <si>
    <t>12.1.1.</t>
  </si>
  <si>
    <t>12.1.2.</t>
  </si>
  <si>
    <t>12.1.3.</t>
  </si>
  <si>
    <t>12.1.4.</t>
  </si>
  <si>
    <t>12.1.5.</t>
  </si>
  <si>
    <t>12.1.6.</t>
  </si>
  <si>
    <t>12.1.7.</t>
  </si>
  <si>
    <t>12.2.</t>
  </si>
  <si>
    <t>12.2.1.</t>
  </si>
  <si>
    <t>12.2.2.</t>
  </si>
  <si>
    <t>12.2.3.</t>
  </si>
  <si>
    <t>12.2.4.</t>
  </si>
  <si>
    <t>12.2.5.</t>
  </si>
  <si>
    <t>12.2.6.</t>
  </si>
  <si>
    <t>12.2.7.</t>
  </si>
  <si>
    <t>12.2.8.</t>
  </si>
  <si>
    <t>12.2.9.</t>
  </si>
  <si>
    <t>12.2.10.</t>
  </si>
  <si>
    <t>12.2.11.</t>
  </si>
  <si>
    <t>12.2.12.</t>
  </si>
  <si>
    <t>13.</t>
  </si>
  <si>
    <t>13.1.</t>
  </si>
  <si>
    <t>13.2.</t>
  </si>
  <si>
    <t>13.3.</t>
  </si>
  <si>
    <t>13.4.</t>
  </si>
  <si>
    <t>13.5.</t>
  </si>
  <si>
    <t>13.6.</t>
  </si>
  <si>
    <t>13.7.</t>
  </si>
  <si>
    <t>13.8.</t>
  </si>
  <si>
    <t>13.9.</t>
  </si>
  <si>
    <t>13.10.</t>
  </si>
  <si>
    <t>13.11.</t>
  </si>
  <si>
    <t>13.12.</t>
  </si>
  <si>
    <t>13.13.</t>
  </si>
  <si>
    <t>13.14.</t>
  </si>
  <si>
    <t>13.15.</t>
  </si>
  <si>
    <t>13.16.</t>
  </si>
  <si>
    <t>14.</t>
  </si>
  <si>
    <t>14.1.</t>
  </si>
  <si>
    <t>14.1.1.</t>
  </si>
  <si>
    <t>14.2.</t>
  </si>
  <si>
    <t>15.</t>
  </si>
  <si>
    <t>15.1.</t>
  </si>
  <si>
    <t>15.2.</t>
  </si>
  <si>
    <t>15.3.</t>
  </si>
  <si>
    <t>15.4.</t>
  </si>
  <si>
    <t>15.5.</t>
  </si>
  <si>
    <t>15.6.</t>
  </si>
  <si>
    <t>15.7.</t>
  </si>
  <si>
    <t>15.8.</t>
  </si>
  <si>
    <t>15.9.</t>
  </si>
  <si>
    <t>15.10.</t>
  </si>
  <si>
    <t>15.11.</t>
  </si>
  <si>
    <t>16.</t>
  </si>
  <si>
    <t>16.1.</t>
  </si>
  <si>
    <t>16.1.1.</t>
  </si>
  <si>
    <t>16.2.</t>
  </si>
  <si>
    <t>16.3.</t>
  </si>
  <si>
    <t>16.4.</t>
  </si>
  <si>
    <t>16.5.</t>
  </si>
  <si>
    <t>16.6.</t>
  </si>
  <si>
    <t>16.7.</t>
  </si>
  <si>
    <t>16.8.</t>
  </si>
  <si>
    <t>16.9.</t>
  </si>
  <si>
    <t>16.10.</t>
  </si>
  <si>
    <t>17.</t>
  </si>
  <si>
    <t>17.1.</t>
  </si>
  <si>
    <t>17.1.1.</t>
  </si>
  <si>
    <t>17.1.2.</t>
  </si>
  <si>
    <t>17.1.3.</t>
  </si>
  <si>
    <t>17.1.4.</t>
  </si>
  <si>
    <t>17.1.5.</t>
  </si>
  <si>
    <t>17.1.6.</t>
  </si>
  <si>
    <t>17.1.7.</t>
  </si>
  <si>
    <t>17.1.8.</t>
  </si>
  <si>
    <t>17.1.9.</t>
  </si>
  <si>
    <t>17.1.10.</t>
  </si>
  <si>
    <t>17.1.11.</t>
  </si>
  <si>
    <t>17.1.12.</t>
  </si>
  <si>
    <t>17.1.13.</t>
  </si>
  <si>
    <t>17.1.14.</t>
  </si>
  <si>
    <t>17.2.</t>
  </si>
  <si>
    <t>17.2.1.</t>
  </si>
  <si>
    <t>17.2.2.</t>
  </si>
  <si>
    <t>17.2.3.</t>
  </si>
  <si>
    <t>17.2.4.</t>
  </si>
  <si>
    <t>17.2.5.</t>
  </si>
  <si>
    <t>17.2.6.</t>
  </si>
  <si>
    <t>17.2.7.</t>
  </si>
  <si>
    <t>17.2.8.</t>
  </si>
  <si>
    <t>17.2.9.</t>
  </si>
  <si>
    <t>17.2.10.</t>
  </si>
  <si>
    <t>17.2.11.</t>
  </si>
  <si>
    <t>17.2.12.</t>
  </si>
  <si>
    <t>17.2.13.</t>
  </si>
  <si>
    <t>17.2.14.</t>
  </si>
  <si>
    <t>17.2.15.</t>
  </si>
  <si>
    <t>17.2.16.</t>
  </si>
  <si>
    <t>17.3.</t>
  </si>
  <si>
    <t>17.3.1.</t>
  </si>
  <si>
    <t>17.3.2.</t>
  </si>
  <si>
    <t>17.3.3.</t>
  </si>
  <si>
    <t>17.3.4.</t>
  </si>
  <si>
    <t>17.3.5.</t>
  </si>
  <si>
    <t>17.4.</t>
  </si>
  <si>
    <t>17.4.1.</t>
  </si>
  <si>
    <t>17.4.2.</t>
  </si>
  <si>
    <t>17.4.3.</t>
  </si>
  <si>
    <t>17.4.4.</t>
  </si>
  <si>
    <t>17.4.5.</t>
  </si>
  <si>
    <t>17.5.</t>
  </si>
  <si>
    <t>17.5.1.</t>
  </si>
  <si>
    <t>17.5.2.</t>
  </si>
  <si>
    <t>17.5.3.</t>
  </si>
  <si>
    <t>17.5.4.</t>
  </si>
  <si>
    <t>17.6.</t>
  </si>
  <si>
    <t>17.6.1.</t>
  </si>
  <si>
    <t>17.6.2.</t>
  </si>
  <si>
    <t>17.6.3.</t>
  </si>
  <si>
    <t>18.</t>
  </si>
  <si>
    <t>18.1.</t>
  </si>
  <si>
    <t>18.1.1.</t>
  </si>
  <si>
    <t>18.1.2.</t>
  </si>
  <si>
    <t>18.1.3.</t>
  </si>
  <si>
    <t>18.1.4.</t>
  </si>
  <si>
    <t>18.1.5.</t>
  </si>
  <si>
    <t>18.1.6.</t>
  </si>
  <si>
    <t>18.1.7.</t>
  </si>
  <si>
    <t>18.1.8.</t>
  </si>
  <si>
    <t>18.1.9.</t>
  </si>
  <si>
    <t>18.1.10.</t>
  </si>
  <si>
    <t>18.1.11.</t>
  </si>
  <si>
    <t>18.1.12.</t>
  </si>
  <si>
    <t>18.1.13.</t>
  </si>
  <si>
    <t>18.1.14.</t>
  </si>
  <si>
    <t>18.1.15.</t>
  </si>
  <si>
    <t>18.2.</t>
  </si>
  <si>
    <t>18.2.1.</t>
  </si>
  <si>
    <t>18.2.2.</t>
  </si>
  <si>
    <t>18.2.3.</t>
  </si>
  <si>
    <t>18.2.4.</t>
  </si>
  <si>
    <t>18.2.5.</t>
  </si>
  <si>
    <t>18.2.6.</t>
  </si>
  <si>
    <t>18.2.7.</t>
  </si>
  <si>
    <t>18.2.8.</t>
  </si>
  <si>
    <t>18.2.9.</t>
  </si>
  <si>
    <t>18.2.10.</t>
  </si>
  <si>
    <t>18.2.11.</t>
  </si>
  <si>
    <t>18.2.12.</t>
  </si>
  <si>
    <t>18.2.13.</t>
  </si>
  <si>
    <t>18.2.14.</t>
  </si>
  <si>
    <t>18.2.15.</t>
  </si>
  <si>
    <t>18.3.</t>
  </si>
  <si>
    <t>18.3.1.</t>
  </si>
  <si>
    <t>18.3.2.</t>
  </si>
  <si>
    <t>18.3.3.</t>
  </si>
  <si>
    <t>18.3.4.</t>
  </si>
  <si>
    <t>18.3.5.</t>
  </si>
  <si>
    <t>18.3.6.</t>
  </si>
  <si>
    <t>18.3.7.</t>
  </si>
  <si>
    <t>18.3.8.</t>
  </si>
  <si>
    <t>18.3.9.</t>
  </si>
  <si>
    <t>18.3.10.</t>
  </si>
  <si>
    <t>18.3.11.</t>
  </si>
  <si>
    <t>18.3.12.</t>
  </si>
  <si>
    <t>18.3.13.</t>
  </si>
  <si>
    <t>18.3.14.</t>
  </si>
  <si>
    <t>18.3.15.</t>
  </si>
  <si>
    <t>18.4.</t>
  </si>
  <si>
    <t>18.4.1.</t>
  </si>
  <si>
    <t>18.4.9.</t>
  </si>
  <si>
    <t>18.4.10.</t>
  </si>
  <si>
    <t>18.4.13.</t>
  </si>
  <si>
    <t>18.4.14.</t>
  </si>
  <si>
    <t>18.4.15.</t>
  </si>
  <si>
    <t>19.</t>
  </si>
  <si>
    <t>19.1.</t>
  </si>
  <si>
    <t>19.1.1.</t>
  </si>
  <si>
    <t>19.1.2.</t>
  </si>
  <si>
    <t>19.1.3.</t>
  </si>
  <si>
    <t>19.1.4.</t>
  </si>
  <si>
    <t>19.1.5.</t>
  </si>
  <si>
    <t>19.1.6.</t>
  </si>
  <si>
    <t>19.1.7.</t>
  </si>
  <si>
    <t>19.1.8.</t>
  </si>
  <si>
    <t>19.2.</t>
  </si>
  <si>
    <t>19.2.1.</t>
  </si>
  <si>
    <t>19.2.2.</t>
  </si>
  <si>
    <t>19.2.3.</t>
  </si>
  <si>
    <t>19.2.4.</t>
  </si>
  <si>
    <t>19.2.5.</t>
  </si>
  <si>
    <t>19.2.6.</t>
  </si>
  <si>
    <t>19.2.7.</t>
  </si>
  <si>
    <t>19.3.</t>
  </si>
  <si>
    <t>19.3.1.</t>
  </si>
  <si>
    <t>19.3.2.</t>
  </si>
  <si>
    <t>19.3.3.</t>
  </si>
  <si>
    <t>19.3.4.</t>
  </si>
  <si>
    <t>19.3.5.</t>
  </si>
  <si>
    <t>19.3.6.</t>
  </si>
  <si>
    <t>19.3.7.</t>
  </si>
  <si>
    <t>19.4.</t>
  </si>
  <si>
    <t>19.4.1.</t>
  </si>
  <si>
    <t>19.4.2.</t>
  </si>
  <si>
    <t>19.4.3.</t>
  </si>
  <si>
    <t>19.4.4.</t>
  </si>
  <si>
    <t>19.4.5.</t>
  </si>
  <si>
    <t>19.4.6.</t>
  </si>
  <si>
    <t>20.</t>
  </si>
  <si>
    <t>21.</t>
  </si>
  <si>
    <t>21.1.</t>
  </si>
  <si>
    <t>21.1.1.</t>
  </si>
  <si>
    <t>21.1.2.</t>
  </si>
  <si>
    <t>21.1.3.</t>
  </si>
  <si>
    <t>21.2.</t>
  </si>
  <si>
    <t>21.2.1.</t>
  </si>
  <si>
    <t>21.2.2.</t>
  </si>
  <si>
    <t>21.2.3.</t>
  </si>
  <si>
    <t>21.2.4.</t>
  </si>
  <si>
    <t>21.2.5.</t>
  </si>
  <si>
    <t>21.2.6.</t>
  </si>
  <si>
    <t>21.2.7.</t>
  </si>
  <si>
    <t>21.2.8.</t>
  </si>
  <si>
    <t>22.</t>
  </si>
  <si>
    <t>22.1.</t>
  </si>
  <si>
    <t>22.1.1.</t>
  </si>
  <si>
    <t>22.1.2.</t>
  </si>
  <si>
    <t>22.2.</t>
  </si>
  <si>
    <t>22.2.4.</t>
  </si>
  <si>
    <t>22.2.5.</t>
  </si>
  <si>
    <t>22.2.6.</t>
  </si>
  <si>
    <t>22.2.7.</t>
  </si>
  <si>
    <t>22.2.8.</t>
  </si>
  <si>
    <t>22.2.9.</t>
  </si>
  <si>
    <t>22.2.10.</t>
  </si>
  <si>
    <t>22.3.</t>
  </si>
  <si>
    <t>22.3.1.</t>
  </si>
  <si>
    <t>22.3.2.</t>
  </si>
  <si>
    <t>22.3.3.</t>
  </si>
  <si>
    <t>22.3.4.</t>
  </si>
  <si>
    <t>22.3.5.</t>
  </si>
  <si>
    <t>22.3.6.</t>
  </si>
  <si>
    <t>22.3.7.</t>
  </si>
  <si>
    <t>22.3.8.</t>
  </si>
  <si>
    <t>22.3.9.</t>
  </si>
  <si>
    <t>22.3.10.</t>
  </si>
  <si>
    <t>23.</t>
  </si>
  <si>
    <t>23.1.</t>
  </si>
  <si>
    <t>23.1.1.</t>
  </si>
  <si>
    <t>23.1.2.</t>
  </si>
  <si>
    <t>23.2.</t>
  </si>
  <si>
    <t>23.2.1.</t>
  </si>
  <si>
    <t>24.</t>
  </si>
  <si>
    <t>24.1.</t>
  </si>
  <si>
    <t>24.1.1.</t>
  </si>
  <si>
    <t>24.1.2.</t>
  </si>
  <si>
    <t>24.1.3.</t>
  </si>
  <si>
    <t>24.1.4.</t>
  </si>
  <si>
    <t>24.1.5.</t>
  </si>
  <si>
    <t>24.1.6.</t>
  </si>
  <si>
    <t>24.1.7.</t>
  </si>
  <si>
    <t>24.1.8.</t>
  </si>
  <si>
    <t>24.1.9.</t>
  </si>
  <si>
    <t>24.1.10.</t>
  </si>
  <si>
    <t>24.1.11.</t>
  </si>
  <si>
    <t>24.1.12.</t>
  </si>
  <si>
    <t>24.1.13.</t>
  </si>
  <si>
    <t>24.1.14.</t>
  </si>
  <si>
    <t>24.1.15.</t>
  </si>
  <si>
    <t>24.1.16.</t>
  </si>
  <si>
    <t>24.1.17.</t>
  </si>
  <si>
    <t>24.1.18.</t>
  </si>
  <si>
    <t>24.1.19.</t>
  </si>
  <si>
    <t>24.2.</t>
  </si>
  <si>
    <t>24.2.1.</t>
  </si>
  <si>
    <t>24.2.2.</t>
  </si>
  <si>
    <t>24.2.3.</t>
  </si>
  <si>
    <t>24.2.4.</t>
  </si>
  <si>
    <t>24.2.5.</t>
  </si>
  <si>
    <t>24.2.6.</t>
  </si>
  <si>
    <t>24.2.7.</t>
  </si>
  <si>
    <t>25.</t>
  </si>
  <si>
    <t>25.1.</t>
  </si>
  <si>
    <t>25.1.1.</t>
  </si>
  <si>
    <t>25.1.2.</t>
  </si>
  <si>
    <t>25.2.</t>
  </si>
  <si>
    <t>25.2.1.</t>
  </si>
  <si>
    <t>25.2.2.</t>
  </si>
  <si>
    <t>25.2.3.</t>
  </si>
  <si>
    <t>25.2.4.</t>
  </si>
  <si>
    <t>25.2.5.</t>
  </si>
  <si>
    <t>25.2.6.</t>
  </si>
  <si>
    <t>25.2.7.</t>
  </si>
  <si>
    <t>26.</t>
  </si>
  <si>
    <t>26.1.</t>
  </si>
  <si>
    <t>26.1.1.</t>
  </si>
  <si>
    <t>26.1.2.</t>
  </si>
  <si>
    <t>26.1.3.</t>
  </si>
  <si>
    <t>27.</t>
  </si>
  <si>
    <t>27.1.</t>
  </si>
  <si>
    <t>27.1.1.</t>
  </si>
  <si>
    <t>27.2.1.</t>
  </si>
  <si>
    <t>27.2.3.</t>
  </si>
  <si>
    <t>28.</t>
  </si>
  <si>
    <t>28.1.</t>
  </si>
  <si>
    <t>28.2.</t>
  </si>
  <si>
    <t>28.3.</t>
  </si>
  <si>
    <t>28.4.</t>
  </si>
  <si>
    <t>28.5.</t>
  </si>
  <si>
    <t>29.</t>
  </si>
  <si>
    <t>29.1.</t>
  </si>
  <si>
    <t>29.2.</t>
  </si>
  <si>
    <t>30.</t>
  </si>
  <si>
    <t>30.1.</t>
  </si>
  <si>
    <t>30.1.1.</t>
  </si>
  <si>
    <t>30.1.2.</t>
  </si>
  <si>
    <t>30.1.3.</t>
  </si>
  <si>
    <t>30.1.4.</t>
  </si>
  <si>
    <t>30.1.5.</t>
  </si>
  <si>
    <t>30.1.6.</t>
  </si>
  <si>
    <t>30.1.7.</t>
  </si>
  <si>
    <t>30.1.8.</t>
  </si>
  <si>
    <t>30.1.9.</t>
  </si>
  <si>
    <t>30.1.10.</t>
  </si>
  <si>
    <t>30.1.11.</t>
  </si>
  <si>
    <t>30.1.12.</t>
  </si>
  <si>
    <t>30.1.13.</t>
  </si>
  <si>
    <t>30.1.14.</t>
  </si>
  <si>
    <t>30.1.15.</t>
  </si>
  <si>
    <t>30.1.16.</t>
  </si>
  <si>
    <t>30.1.17.</t>
  </si>
  <si>
    <t>30.1.18.</t>
  </si>
  <si>
    <t>30.1.19.</t>
  </si>
  <si>
    <t>30.1.20.</t>
  </si>
  <si>
    <t>31.</t>
  </si>
  <si>
    <t>Трубы стальные электросварные прямошовные и спирально-шовные больших диаметров группы А и Б с сопротивлением по разрыву 38 кгс/мм2 наружный диаметр 530х8 мм из стали 09Г2С</t>
  </si>
  <si>
    <t>Стоимость конденсатосборника V-8м3 (ЕП 8-2000-1300-3), с насосом центробежным полупогружным НВ-Д 50/50, с глубинным погружением L-3000мм, Q-50м3/ч, Н-50м, с электродвигателем N-22кВт</t>
  </si>
  <si>
    <t>Монтаж оборудования на открытой площадке, масса оборудования 3,347 т</t>
  </si>
  <si>
    <t>Гидравлическое испытание сосудов и аппаратов. Аппарат или сосуд горизонтальный или вертикальный, работающий без давления, вместимость 8 м3</t>
  </si>
  <si>
    <t>СТРОИТЕЛЬНЫЕ РАБОТЫ</t>
  </si>
  <si>
    <t>Нанесение антикоррозийной изоляцией весьма усиленного типа</t>
  </si>
  <si>
    <t>ОБОРУДОВАНИЕ</t>
  </si>
  <si>
    <t>02-01-09</t>
  </si>
  <si>
    <t>Стоимость сбора конденсата подземная горизонтальная V-63м3 (ЕП 63-3000-1000-3), с насосом центрбежным погружными НВ-Д 50/50, с глубиной погружения L-3700мм, Q-50м3/ч, Н-50м, с электродвигателем N-22кВт</t>
  </si>
  <si>
    <t>Монтаж оборудования на открытой площадке, масса оборудования: 9,425 т</t>
  </si>
  <si>
    <t>Гидравлическое испытание сосудов и аппаратов. Аппарат или сосуд горизонтальный или вертикальный, работающий без давления, вместимость 63 м3</t>
  </si>
  <si>
    <t xml:space="preserve">СТРОИТЕЛЬНЫЕ РАБОТЫ ОСНОВАНИЯ ТРАНСФОРМАТОРНОЙ ПОДСТАНЦИИ (ГП П. 8). </t>
  </si>
  <si>
    <t>02-01-10</t>
  </si>
  <si>
    <t>Погружение дизель-молотом железобетонных свай длиной до 8 м в грунты группы: 1</t>
  </si>
  <si>
    <t>Погружение дизель-молотом  железобетонных свай длиной до 10 м в грунты группы: 1.Сваи железобетонные С100.30-8,С80.30-8</t>
  </si>
  <si>
    <t>Монтаж оголовника ОМ1.Изготовление оголовника в построечных условиях со ст-тью материалов</t>
  </si>
  <si>
    <t>Забивка бетоном В20 оголовника ОМ1.Приготовление тяжелого бетона на щебне класса В 20</t>
  </si>
  <si>
    <t>Забивка бетоном В20 оголовника ОМ1 с Приготовлением тяжелого бетона тяжелого бетона на щебне класса В 15</t>
  </si>
  <si>
    <t>Монтаж теплообменно-сепарационного блока на открытой площадке, масса оборудования 9,000 т</t>
  </si>
  <si>
    <t>СТРОИТЕЛЬНЫЕ РАБОТЫ ОСНОВАНИЯ ПОД БЛОК ОХЛАЖДЕНИЯ ТОСОЛА (ГП П.3).</t>
  </si>
  <si>
    <t>02-01-02</t>
  </si>
  <si>
    <t>02-01-03</t>
  </si>
  <si>
    <t>Погружение дизель-молотом железобетонных свай длиной до 8 м в грунты группы: 1Сваи железобетонные С80.30-8</t>
  </si>
  <si>
    <t>Погружение дизель-молотом железобетонных свай длиной до 8 м в грунты группы: 1 Сваи железобетонные С80.30-8</t>
  </si>
  <si>
    <t>Погружение дизель-молотом  железобетонных свай длиной до 6 м в грунты группы: 1.Сваи железобетонные С60.30-8</t>
  </si>
  <si>
    <t>Огрунтовка бетонных поверхностей свай мастикой МБР (2 слоя) со стоимотью масти</t>
  </si>
  <si>
    <t xml:space="preserve">Монтаж опорных стоек Ст1 и Прогонов при шаге ферм до 12 м с Изготовлением  стоек  в  построечных условиях,со стоимостью отдельных конструктивных элементов </t>
  </si>
  <si>
    <t>Устройство подстилающих слоев щебеночных с пропиткой битумом</t>
  </si>
  <si>
    <t>Монтаж площадки П1.Изготовление площадки П1 в построечных условияхсо стоимостью материалов</t>
  </si>
  <si>
    <t>02-01-04</t>
  </si>
  <si>
    <t>Монтаж блока охлаждения тосола на открытой площадке, масса оборудования 24,000 т</t>
  </si>
  <si>
    <t>СТРОИТЕЛЬНЫЕ РАБОТЫ ОСНОВАНИЯ ПОД АППАРАТ ВОЗДУШНОГО ОХЛАЖДЕНИЯ (ГП ПП.4.1, 4.2). СЕТИ ИНЖЕНЕРНЫЕ</t>
  </si>
  <si>
    <t>02-01-05</t>
  </si>
  <si>
    <t>Погружение дизель-молотом железобетонных свай длиной до 6 м  грунты группы: 1Сваи железобетонные С80.30-8</t>
  </si>
  <si>
    <t>Забивка бетоном В20 оголовника ОМ1 с Приготовлением тяжелого бетона тяжелого бетона на щебне класса В 20</t>
  </si>
  <si>
    <t>02-01-06</t>
  </si>
  <si>
    <t>врем</t>
  </si>
  <si>
    <t>зим</t>
  </si>
  <si>
    <t>вахта</t>
  </si>
  <si>
    <t>Монтаж аппарата воздушного охлаждения на открытой площадке, масса оборудования 1,900 т</t>
  </si>
  <si>
    <t xml:space="preserve">Трубопроводы из стальных труб Диаметр трубопровода  наружным диаметром 32х3 мм </t>
  </si>
  <si>
    <t xml:space="preserve">Контроль стыков. Трубопровод, диаметр,32 мм </t>
  </si>
  <si>
    <t xml:space="preserve">Контроль стыков. Рентгенографический контроль. </t>
  </si>
  <si>
    <t>Трубы стальные бесшовные наружный диаметр 57х5 мм</t>
  </si>
  <si>
    <t>ПОДЗЕМНАЯ ИЗОЛЯЦИЯ ТРУБОПРОВОДОВ</t>
  </si>
  <si>
    <t>Нанесение весьма усиленной антикоррозионной изоляции полимерными липкими лентами стальных трубопроводов диаметром 114 мм</t>
  </si>
  <si>
    <t>02-01-23</t>
  </si>
  <si>
    <t>ТРУБОПРОВОД ГАЗОВОГО КОНДЕНСАТА.</t>
  </si>
  <si>
    <t>Задвижка клиновая с выдвижным шпинделем фланцевая из стали 20ГЛ с электроприводом АUМА SА 10.1/SАЕС 10.1, с ответными фланцами и крепежными изделиями ЗКЛП 100-16 ХЛ1(30лс915нж1) Ду 100мм, Ру1,6МПа</t>
  </si>
  <si>
    <t>поставка</t>
  </si>
  <si>
    <t>ССР</t>
  </si>
  <si>
    <t xml:space="preserve">цена за единицу </t>
  </si>
  <si>
    <t>Монтаж задвижки.Задвижка фланцевая ЗКЛП-100-16 ХЛ1(30лс915нж1) с электрическим приводом на условное давление до 4 МПа. Диаметр условного прохода, мм 100</t>
  </si>
  <si>
    <t>Монтаж задвижки.Задвижка клиновая с выдвижным шпинделем фланцевая из стали 20ГЛ с ручным управлением, с ответными фланцами и крепежными изделиями ЗКЛ2 80-16ХЛ1 (30лс41нж1) Ду 80мм, Ру1,6МПа</t>
  </si>
  <si>
    <t>Монтаж задвижки.Задвижка клиновая с выдвижным шпинделем фланцевая из стали 20ГЛ с ручным управлением, с ответными фланцами и крепежными изделиями ЗКЛ2 150-16ХЛ1 (30лс41нж1) Ду 150мм, Ру1,6МПа</t>
  </si>
  <si>
    <t>СТРОИТЕЛЬНЫЕ РАБОТЫ ОГРАЖДЕНИЯ (190м)</t>
  </si>
  <si>
    <t>УСТРОЙСТВО ВОРОТ (1 шт.)</t>
  </si>
  <si>
    <t>АВТОМАТИЗАЦИЯ ПРОИЗВОДСТВА И АСУТП.</t>
  </si>
  <si>
    <t>Монтаж.Стационарное отсечное устройство под приварку СОУ 50х16-СвШп, Ду-50мм,Ру-1,6МПа;  СОУ 80х16-СвШп, Ду-80мм,Ру-1,6МПа; СОУ 100х16-СвШп, Ду-100мм,Ру-1,6МПа; СОУ 150х16-СвШп, Ду-150мм,Ру-1,6МПа; СОУ 200х16-СвШп, Ду-200мм,Ру-1,6МПа</t>
  </si>
  <si>
    <t>Окраска огрунтованных бетонных поверхностей кремнийорганической эмалью КО-198 со ст-тью эмали</t>
  </si>
  <si>
    <t>Утверждаю:</t>
  </si>
  <si>
    <t>Генеральный директор</t>
  </si>
  <si>
    <t>№п/п</t>
  </si>
  <si>
    <t>Наименование работ</t>
  </si>
  <si>
    <t>Устройство уклона площадки в сторону колодца бетоном на мелком заполнителе с приготовлением бетона на щебне класса В 15</t>
  </si>
  <si>
    <t>Спецификация опор</t>
  </si>
  <si>
    <t>инженерных сетей</t>
  </si>
  <si>
    <t>Поз.</t>
  </si>
  <si>
    <t>ГОСТ</t>
  </si>
  <si>
    <t>Прокат</t>
  </si>
  <si>
    <t>материал</t>
  </si>
  <si>
    <t>ОПОРЫ</t>
  </si>
  <si>
    <t>d 219</t>
  </si>
  <si>
    <t>ГОСТ 10704-91</t>
  </si>
  <si>
    <t>ГОСТ 19281-89*</t>
  </si>
  <si>
    <t>d 159</t>
  </si>
  <si>
    <t>d 108</t>
  </si>
  <si>
    <t>09Г2С</t>
  </si>
  <si>
    <t>Швел. 16У</t>
  </si>
  <si>
    <t>Швел. 14У</t>
  </si>
  <si>
    <t>Швел. 10У</t>
  </si>
  <si>
    <t>Швеллер 16У</t>
  </si>
  <si>
    <t>Швеллер 14У</t>
  </si>
  <si>
    <t>Швеллер 10У</t>
  </si>
  <si>
    <t>ГОСТ 8240-97</t>
  </si>
  <si>
    <t>С345-1</t>
  </si>
  <si>
    <t>ГОСТ 27772-88*</t>
  </si>
  <si>
    <t>L 75х6</t>
  </si>
  <si>
    <t>Уголок 75х6</t>
  </si>
  <si>
    <t>Труба 219х8</t>
  </si>
  <si>
    <t>Труба 159х8</t>
  </si>
  <si>
    <t>Труба 108х5,5</t>
  </si>
  <si>
    <t>ГОСТ 8509-93</t>
  </si>
  <si>
    <t>С255</t>
  </si>
  <si>
    <t>-S=10</t>
  </si>
  <si>
    <t>-S=8</t>
  </si>
  <si>
    <t>-S=6</t>
  </si>
  <si>
    <t>-S=4</t>
  </si>
  <si>
    <t>Лист 8</t>
  </si>
  <si>
    <t>Лист 6</t>
  </si>
  <si>
    <t>Лист 4</t>
  </si>
  <si>
    <t>Лист 10</t>
  </si>
  <si>
    <t>ГОСТ 19903-74*</t>
  </si>
  <si>
    <t>345-1</t>
  </si>
  <si>
    <t>ОП1</t>
  </si>
  <si>
    <t>ОП2, ОП3, ОП5, ОП7, ОП9, ОП11, ОП13</t>
  </si>
  <si>
    <t>26а</t>
  </si>
  <si>
    <t>75а</t>
  </si>
  <si>
    <t>80а</t>
  </si>
  <si>
    <t>ОП14</t>
  </si>
  <si>
    <t>ОП16</t>
  </si>
  <si>
    <t>ОП17</t>
  </si>
  <si>
    <t>ОП18</t>
  </si>
  <si>
    <t>ОП20</t>
  </si>
  <si>
    <t>ОП22</t>
  </si>
  <si>
    <t>ОП23</t>
  </si>
  <si>
    <t>ОП24</t>
  </si>
  <si>
    <t>ОП26</t>
  </si>
  <si>
    <t>ОП27</t>
  </si>
  <si>
    <t>ОП29</t>
  </si>
  <si>
    <t>ОП28</t>
  </si>
  <si>
    <t>78а</t>
  </si>
  <si>
    <t>ОП34, ОП35</t>
  </si>
  <si>
    <t>ОП40</t>
  </si>
  <si>
    <t>ОП41</t>
  </si>
  <si>
    <t>ОП43</t>
  </si>
  <si>
    <t>Масса ед, кг</t>
  </si>
  <si>
    <t>п.м</t>
  </si>
  <si>
    <t>Всего металла</t>
  </si>
  <si>
    <t>ОП 49</t>
  </si>
  <si>
    <t>ОП53</t>
  </si>
  <si>
    <t>ОП54</t>
  </si>
  <si>
    <t>ОП56, ОП70</t>
  </si>
  <si>
    <t>ОП60</t>
  </si>
  <si>
    <t>ОП58</t>
  </si>
  <si>
    <t>ОП61, ОП66</t>
  </si>
  <si>
    <t>ОП69</t>
  </si>
  <si>
    <t>ОП72</t>
  </si>
  <si>
    <t>ОП75</t>
  </si>
  <si>
    <t>ОП76</t>
  </si>
  <si>
    <t>ОП77</t>
  </si>
  <si>
    <t>ОП81</t>
  </si>
  <si>
    <t>ОП82</t>
  </si>
  <si>
    <t>ОП85</t>
  </si>
  <si>
    <t>ОП83</t>
  </si>
  <si>
    <t>ОП90</t>
  </si>
  <si>
    <t>ОП91</t>
  </si>
  <si>
    <t>ОП95, ОП108</t>
  </si>
  <si>
    <t>ОП96</t>
  </si>
  <si>
    <t>ОП97</t>
  </si>
  <si>
    <t>ОП98</t>
  </si>
  <si>
    <t>ОП104</t>
  </si>
  <si>
    <t>ОП105</t>
  </si>
  <si>
    <t>ОП109</t>
  </si>
  <si>
    <t>ОП110</t>
  </si>
  <si>
    <t>ОП122</t>
  </si>
  <si>
    <t>ОП123</t>
  </si>
  <si>
    <t>ОП124</t>
  </si>
  <si>
    <t>ОП110а</t>
  </si>
  <si>
    <t>ОП84</t>
  </si>
  <si>
    <t>ОП126</t>
  </si>
  <si>
    <t>Всего е.и.</t>
  </si>
  <si>
    <t>Всего кг</t>
  </si>
  <si>
    <t>электричеких сетей</t>
  </si>
  <si>
    <t>L 63х5</t>
  </si>
  <si>
    <t>Уголок 63х5</t>
  </si>
  <si>
    <t>ОЭ5, ОЭ6, ОЭ7</t>
  </si>
  <si>
    <t>ОЭ9, ОЭ10</t>
  </si>
  <si>
    <t>ОЭ38</t>
  </si>
  <si>
    <t>ОЭ44, ОЭ45</t>
  </si>
  <si>
    <t>ОЭ46, ОЭ56</t>
  </si>
  <si>
    <t>ОЭ47, ОЭ48</t>
  </si>
  <si>
    <t>ОЭ32, ОЭ33, ОЭ49, ОЭ50, ОЭ51</t>
  </si>
  <si>
    <t>ОЭ54</t>
  </si>
  <si>
    <t>ОЭ55</t>
  </si>
  <si>
    <t>Всего металла, кг</t>
  </si>
  <si>
    <t>Согласовано:</t>
  </si>
  <si>
    <t>Информация о ЗАКАЗЧИКЕ работ и сведения необходимые для подготовки предложений.</t>
  </si>
  <si>
    <t>Почтовый адрес:</t>
  </si>
  <si>
    <t>Требования к выполняемым работам, предоставляемым Подрядчиком</t>
  </si>
  <si>
    <t xml:space="preserve">Техническое задание </t>
  </si>
  <si>
    <t>Наименование материалов/оборудования</t>
  </si>
  <si>
    <t>Кол-во ВСЕГО</t>
  </si>
  <si>
    <t>Приобретение материалов/ оборудования</t>
  </si>
  <si>
    <t>Наличие на складе Заказчика (кол-во)</t>
  </si>
  <si>
    <t>Сроки поставки (число/месяц/год)</t>
  </si>
  <si>
    <t>Заказчиком (кол-во)</t>
  </si>
  <si>
    <t>Подрядчиком (кол-во)</t>
  </si>
  <si>
    <t xml:space="preserve">Примечание: </t>
  </si>
  <si>
    <t>АО «УНС»</t>
  </si>
  <si>
    <t>Заказчик – АО «УНС»</t>
  </si>
  <si>
    <t>ЗГД - Главный инженер</t>
  </si>
  <si>
    <t>_____________А.А. Марков</t>
  </si>
  <si>
    <t>Россия, 614000, Пермский край, г. Пермь, ул.25 Октября, д. 2</t>
  </si>
  <si>
    <t xml:space="preserve">Начальник ОКС </t>
  </si>
  <si>
    <t>Главный энергетик</t>
  </si>
  <si>
    <t>Начальник ОКС</t>
  </si>
  <si>
    <t>Главный метролог</t>
  </si>
  <si>
    <t>Ед.изм</t>
  </si>
  <si>
    <t>-</t>
  </si>
  <si>
    <t>Организация временных площадок хранения материалов и оборудования силами подрядчика.</t>
  </si>
  <si>
    <t>Погрузо-разгрузочные работы материалов и оборудования поставки заказчика силами подрядчика.</t>
  </si>
  <si>
    <t>Организация автономных жилых городков (питание, энергообеспечение, поставка ГСМ и т.д.) силами подрядчика.</t>
  </si>
  <si>
    <t>Выполнить строительно-монтажные работы в соответствии с нормативными документами, актами, положениями и правилами, действующими на территории РФ и положениями, регламентами и приказами по АО «УНС».</t>
  </si>
  <si>
    <t>Подрядчик во всех случаях несет перед Заказчиком полную ответственность за неисполнение или ненадлежащее исполнение обязательств, привлекаемым субподрядчиком как за свои собственные действия.</t>
  </si>
  <si>
    <t>Генеральный директор ‑ Марков Алексей Александрович</t>
  </si>
  <si>
    <t xml:space="preserve"> Особые условия</t>
  </si>
  <si>
    <t>Пусконаладочные работы (расширение)</t>
  </si>
  <si>
    <t xml:space="preserve">ЗГД - Главный инженер </t>
  </si>
  <si>
    <t>____________А.П. Фомин</t>
  </si>
  <si>
    <t>Стоимость услуги должна включать все затраты Подрядчика (накладные, транспортные  и другие расходы, связанные с оказанием данной услуги) и не подлежит корректировке в сторону увеличения.</t>
  </si>
  <si>
    <t>Формирование сметной стоимости СМР произвести на основании сборников базовых цен ФЕР-2001 в актуальной редакции 2020г. с последующим пересчетом в текущий уровень цен по индексам ООО «Стройинформресурс» на начало текущего квартала (1кв.-январь, 2кв.-апрель, 3кв. – июль, 4кв.- октябрь) в программном комплексе Гранд.
Количество материалов необходимо учитывать с коэффициентом расхода, согласно ПСД или сметных норм.</t>
  </si>
  <si>
    <t>При привлечении к выполнению строительных работ субподрядных организаций, участник тендера должен направить в адрес Заказчика  перечень данных предприятий, письменное  обоснование необходимости их привлечения и полный пакет документов, аналогичный документам, представляемым претендентом на участие в тендере.</t>
  </si>
  <si>
    <t>Привлечение для выполнения работ субподрядных организаций возможно только при условии  получения предварительного письменного согласования от Заказчика.</t>
  </si>
  <si>
    <t>Условия оплаты: отсутствие авансирования; 
• 90% от цены объемов ежемесячного акта по форме КС-2  - оплачивается в срок не ранее 90 (девяносто) и не позднее 120 (ста двадцати) календарных дней с момента подписания актов и справок (по форме №КС-2 и форме №КС-3) и предоставления Подрядчиком исполнительной документации и оригинала счета-фактуры на принятый объем Работ;
• окончательный расчет за выполненные работы в размере 10% от стоимости всех выполненных объемов ежемесячных актов по форме КС-2 будет осуществлен в срок не позднее 45 (сорока пяти) календарных дней с момента предоставления исполнительной документации на выполненный объем работ согласно актам и справкам (по форме № КС-2 и форме КС-3). Срок для оплаты начинает исчисляться при одновременном исполнении обязательства Подрядчика по предоставлению полного комплекта документов и подтверждается подписанием Сторонами акта приема-передачи соответствующих документов.</t>
  </si>
  <si>
    <t>«___»____________2025г.</t>
  </si>
  <si>
    <t>«___»____________2025 г.</t>
  </si>
  <si>
    <t>2. Пермский край, Чернушинский муниципальный округ, Капканское нефтяное месторождение.</t>
  </si>
  <si>
    <r>
      <rPr>
        <b/>
        <sz val="12"/>
        <color theme="1"/>
        <rFont val="Times New Roman"/>
        <family val="1"/>
        <charset val="204"/>
      </rPr>
      <t xml:space="preserve">          Месторождения:</t>
    </r>
    <r>
      <rPr>
        <sz val="12"/>
        <color theme="1"/>
        <rFont val="Times New Roman"/>
        <family val="1"/>
        <charset val="204"/>
      </rPr>
      <t xml:space="preserve"> 1. Пермский край, Кунгурский муниципальный округ, Ожгинское нефтяное месторождение.                  </t>
    </r>
  </si>
  <si>
    <r>
      <rPr>
        <b/>
        <sz val="12"/>
        <rFont val="Times New Roman"/>
        <family val="1"/>
        <charset val="204"/>
      </rPr>
      <t>Наименование работ:</t>
    </r>
    <r>
      <rPr>
        <sz val="12"/>
        <rFont val="Times New Roman"/>
        <family val="1"/>
        <charset val="204"/>
      </rPr>
      <t xml:space="preserve"> комплекс строительно-монтажных и пусконаладочных работ по созданию автоматизированной  информационно-измерительной системы технического учета электроэнергии (АИИС ТУЭ) АО "УНС".</t>
    </r>
  </si>
  <si>
    <t>Поставка программного обеспечения в составе:</t>
  </si>
  <si>
    <t>2.1.</t>
  </si>
  <si>
    <t>Программный комплекс "Энергосфера 9" ES-RRE s. 1.2.8:</t>
  </si>
  <si>
    <t>программа «Сервер опроса» (1 шт.);</t>
  </si>
  <si>
    <t>программа «Консоль администратора»</t>
  </si>
  <si>
    <t>программа «Редактор расчетных схем»</t>
  </si>
  <si>
    <t>программа «АРМ «Энергосфера»</t>
  </si>
  <si>
    <t>программа «Оперативный контроль данных»</t>
  </si>
  <si>
    <t>программа «Ручной ввод данных»</t>
  </si>
  <si>
    <t>пакет web-приложений «Web-интерфейс»</t>
  </si>
  <si>
    <t>пакет «РРЭ»</t>
  </si>
  <si>
    <t>дополнительный модуль к программе «Сервер опроса». Поддержка микропроцессорных электросчетчиков. Электросчетчики производства 
«Эльстер-Метроника», «НЗиФ», «Инкотекс»</t>
  </si>
  <si>
    <t>дополнительный модуль к программе «Сервер опроса». Поддержка 
микропроцессорных электросчетчиков. Остальные электросчетчики</t>
  </si>
  <si>
    <t>дополнительный модуль к программе «Сервер опроса». Поддержка 
PLC-концентраторов</t>
  </si>
  <si>
    <t>2.2.</t>
  </si>
  <si>
    <t>Комплект для иерархических систем учета и управления энергоресурсами.</t>
  </si>
  <si>
    <t>Техническое задание составлено по технорабочему проекту РЭСС.411711юАИИСю1390. Во время проведения работ возможна корректировка объемов.</t>
  </si>
  <si>
    <t xml:space="preserve">Срок выполнения работ: III кв. - IV кв. 2025 г. </t>
  </si>
  <si>
    <t>Для работ в помещении: 
Производство монтажных и пусконаладочных работ осуществляется в помещениях эксплуатируемого объекта капитального строительства (АБК, Операторная, ПС 35/6 Ожгинская, ТП и пр.), эксплуатация которого не прекращена без остановки рабочего процесса, при этом: в зоне производства работ имеется действующее технологическое оборудование (щиты, ТП и пр. оператора).
Производство пусконаладочных работ осуществляется на электрооборудовании, защищенном от воздействия окружающей среды по конструктивному исполнению (пыле- и водозащищенном)</t>
  </si>
  <si>
    <t xml:space="preserve">Мобилизация и демобилизация строительной техники и оборудования силами подрядчика. </t>
  </si>
  <si>
    <t xml:space="preserve">Организация перевозки вахт, перевозки рабочих силами подрядчика. </t>
  </si>
  <si>
    <t>на выполнение комплекса работ:</t>
  </si>
  <si>
    <t>Установка автоматизированной информационно-измерительной системы технического учета электроэнергии» АО «УНС»</t>
  </si>
  <si>
    <t>Для работ на открытых площадках: 
Производство монтажных работ на территории действующего предприятия с наличием в зоне производства работ:
– разветвленной сеть инженерных коммуникаций (новые линии по существующим ВЛ-6 кВ и кабельных эстакадах 0,4 кВ);
– действующего технологического оборудования месторождений;
- движения технологического транспорта (нефтевозы и пр.).</t>
  </si>
  <si>
    <t>При поставке оборудования и материалов предусмотреть ЗИП 10-15 %.</t>
  </si>
  <si>
    <t>Д. Н. Терентьев</t>
  </si>
  <si>
    <t xml:space="preserve">А. П. Осипов </t>
  </si>
  <si>
    <t>С. А. Родионов</t>
  </si>
  <si>
    <t xml:space="preserve">Приложения: </t>
  </si>
  <si>
    <t>1. Технорабочий проект РЭСС.411711.АИИС.1390.</t>
  </si>
  <si>
    <t>Ведомость поставки материалов/оборудования по тендеру для выполнения 
комплекса строительно-монтажных и пусконаладочных работ по созданию автоматизированной  информационно-измерительной системы технического учета электроэнергии (АИИС ТУЭ) АО "УНС".</t>
  </si>
  <si>
    <t>Автоматизированная информационно-измерительая система технического учета электроэнергии» АО «УНС»</t>
  </si>
  <si>
    <t>GPRS терминал Teleofis WRX1008-R4U</t>
  </si>
  <si>
    <t>Коммутатор управляемый MikroTik CRS112-8P4S-IN</t>
  </si>
  <si>
    <t>Преобразователь интерфейса Moxa NPort 5430</t>
  </si>
  <si>
    <t>Преобразователь интерфейса Moxa Nport IA-5130</t>
  </si>
  <si>
    <t>Преобразователь интерфейса Moxa NPort 5232</t>
  </si>
  <si>
    <t>SFP-модуль Mikrotik S-31DLC20D</t>
  </si>
  <si>
    <t>Антей 915 Антенна GSM</t>
  </si>
  <si>
    <t>Разветвитель интерфейса RS-485 ПР-3</t>
  </si>
  <si>
    <t>Разветвитель интерфейса RS-485 ПР-4</t>
  </si>
  <si>
    <t>Кросс оптический ШКОС-Л-1U/2-16-LC~16-
LC/SM~16-LC/UPC</t>
  </si>
  <si>
    <t>Модуль грозозащиты ГЗКС-2/Д</t>
  </si>
  <si>
    <t>Модуль грозозащиты ГЗКС-1/Д</t>
  </si>
  <si>
    <t>Блок питания TELEOFIS PS12-1000 (L)</t>
  </si>
  <si>
    <t>Блок питания 12В MDR-10-12</t>
  </si>
  <si>
    <t>Блок питания 12В MDR-20-12</t>
  </si>
  <si>
    <t>Блок питания 48В MikroTik 48V2A96W</t>
  </si>
  <si>
    <t>Обогреватель на DIN-рейку клеммный 45Вт 230В 
IP20 EKF</t>
  </si>
  <si>
    <t>Обогреватель на DIN-рейку клеммный 100Вт 
230В IP20 EKF</t>
  </si>
  <si>
    <t>Термостат NC на DIN-рейку 10А 230В IP20 EKF 
PROxima</t>
  </si>
  <si>
    <t>Розетка на DIN-рейку РДЕ-47 16А EKF PROxima</t>
  </si>
  <si>
    <t>Автоматический выключатель IEK BA47-29 2P 
C6</t>
  </si>
  <si>
    <t>Корпус навесной с м/п 300x400x200 мм 
R5ST0331</t>
  </si>
  <si>
    <t>Шкаф климат. телеком. навесной ШКТН
680x600x550 мм (19 ,12U)</t>
  </si>
  <si>
    <t>компл.</t>
  </si>
  <si>
    <t>Кабельная продукция (согласно проекта)</t>
  </si>
  <si>
    <t>Крепежные изделия и материалы (согласно проекта)</t>
  </si>
  <si>
    <t>1. При составлении сметной документации количество материалов необходимо учитывать с коэффициентом расхода, согласно сметных норм.</t>
  </si>
  <si>
    <t>А. А. Марков</t>
  </si>
  <si>
    <t>А. П. Фомин</t>
  </si>
  <si>
    <t>А. П. Осипов</t>
  </si>
  <si>
    <t>Поставка оборудования и материалов, согласно ведомости.</t>
  </si>
  <si>
    <t>Монтаж GPRS терминала Teleofis WRX1008-R4U</t>
  </si>
  <si>
    <t>Монтаж коммутатора управляемого MikroTik CRS112-8P4S-IN</t>
  </si>
  <si>
    <t>Монтаж преобразователя интерфейса Moxa NPort 5430</t>
  </si>
  <si>
    <t>Монтаж преобразователя интерфейса Moxa Nport IA-5130</t>
  </si>
  <si>
    <t>Монтаж преобразователя интерфейса Moxa NPort 5232</t>
  </si>
  <si>
    <t>Монтаж SFP-модуля Mikrotik S-31DLC20D</t>
  </si>
  <si>
    <t xml:space="preserve">Монтаж Антенны GSMАнтей 915 </t>
  </si>
  <si>
    <t>Монтаж разветвителя интерфейса RS-485 ПР-3</t>
  </si>
  <si>
    <t>Монтаж разветвителя интерфейса RS-485 ПР-4</t>
  </si>
  <si>
    <t>Монтаж кросса оптический ШКОС-Л-1U/2-16-LC~16-
LC/SM~16-LC/UPC</t>
  </si>
  <si>
    <t>Монтаж модуля грозозащиты ГЗКС-2/Д</t>
  </si>
  <si>
    <t>Монтаж модуля грозозащиты ГЗКС-1/Д</t>
  </si>
  <si>
    <t>Монтаж блока питания TELEOFIS PS12-1000 (L)</t>
  </si>
  <si>
    <t>Монтаж блока питания 12В MDR-10-12</t>
  </si>
  <si>
    <t>Монтаж блока питания 12В MDR-20-12</t>
  </si>
  <si>
    <t>Монтаж блока питания 48В MikroTik 48V2A96W</t>
  </si>
  <si>
    <t>Монтаж обогревателя на DIN-рейку клеммный 45Вт 230В 
IP20 EKF</t>
  </si>
  <si>
    <t>Монтаж термостата NC на DIN-рейку 10А 230В IP20 EKF 
PROxima</t>
  </si>
  <si>
    <t>Монтаж розетки на DIN-рейку РДЕ-47 16А EKF PROxima</t>
  </si>
  <si>
    <t>Монтаж автоматического выключателя IEK BA47-29 2P 
C6</t>
  </si>
  <si>
    <t>Монтаж шкафа климат. телеком. навесной ШКТН
680x600x550 мм (19 ,12U)</t>
  </si>
  <si>
    <t>м.</t>
  </si>
  <si>
    <t>Монтаж кабеля интерфейсного FTP 4x2x0,5 5e outdoor</t>
  </si>
  <si>
    <t>Монтаж кабеля интерфейсного FTP 4x2x0,5 5e indoor</t>
  </si>
  <si>
    <t>Монтаж кабеля питания ВВГнг 2х1,5</t>
  </si>
  <si>
    <t>Монтаж кабеля питания ВВГнг(А)-LS 3х2,5</t>
  </si>
  <si>
    <t>Монтаж кабеля оптического бронированного Netlink OKK-T-4A-2,7 кН по опорам ВЛ 6 кВ</t>
  </si>
  <si>
    <t>Монтаж патч-корда</t>
  </si>
  <si>
    <t>Монтаж оптического патч-корда</t>
  </si>
  <si>
    <t>Монтажные и наладочные работы  оборудования и материалов</t>
  </si>
  <si>
    <t>Приложение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</si>
</sst>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₽_-;\-* #,##0.00\ _₽_-;_-* &quot;-&quot;??\ _₽_-;_-@_-"/>
    <numFmt numFmtId="165" formatCode="_-* #,##0.00_р_._-;\-* #,##0.00_р_._-;_-* &quot;-&quot;??_р_._-;_-@_-"/>
    <numFmt numFmtId="166" formatCode="_(* #,##0.00_);_(* \(#,##0.00\);_(* &quot;-&quot;??_);_(@_)"/>
    <numFmt numFmtId="167" formatCode="0.0%"/>
    <numFmt numFmtId="168" formatCode="_(* #,##0_);_(* \(#,##0\);_(* &quot;-&quot;??_);_(@_)"/>
    <numFmt numFmtId="169" formatCode=";;;"/>
    <numFmt numFmtId="170" formatCode="_(* #,##0.0_);_(* \(#,##0.0\);_(* &quot;-&quot;??_);_(@_)"/>
    <numFmt numFmtId="171" formatCode="0.000"/>
    <numFmt numFmtId="172" formatCode="0.0000"/>
    <numFmt numFmtId="173" formatCode="0.00000"/>
  </numFmts>
  <fonts count="83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 Cyr"/>
      <family val="2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i/>
      <sz val="9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indexed="9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5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0"/>
      <color indexed="12"/>
      <name val="Times New Roman"/>
      <family val="1"/>
      <charset val="204"/>
    </font>
    <font>
      <sz val="8"/>
      <color indexed="81"/>
      <name val="Tahoma"/>
      <family val="2"/>
      <charset val="204"/>
    </font>
    <font>
      <b/>
      <sz val="8"/>
      <color indexed="81"/>
      <name val="Tahoma"/>
      <family val="2"/>
      <charset val="204"/>
    </font>
    <font>
      <sz val="10"/>
      <name val="Times New Roman Cyr"/>
      <family val="1"/>
      <charset val="204"/>
    </font>
    <font>
      <b/>
      <i/>
      <sz val="8"/>
      <name val="Times New Roman"/>
      <family val="1"/>
      <charset val="204"/>
    </font>
    <font>
      <b/>
      <i/>
      <sz val="10"/>
      <color indexed="12"/>
      <name val="Times New Roman"/>
      <family val="1"/>
      <charset val="204"/>
    </font>
    <font>
      <b/>
      <sz val="10"/>
      <name val="Arial"/>
      <family val="2"/>
      <charset val="204"/>
    </font>
    <font>
      <b/>
      <i/>
      <sz val="8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b/>
      <i/>
      <sz val="9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Calibri"/>
      <family val="2"/>
      <charset val="204"/>
    </font>
    <font>
      <sz val="8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Arial"/>
      <family val="2"/>
      <charset val="204"/>
    </font>
    <font>
      <b/>
      <sz val="13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9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name val="Arial"/>
      <family val="2"/>
    </font>
    <font>
      <sz val="12"/>
      <name val="Arial"/>
      <family val="2"/>
      <charset val="204"/>
    </font>
    <font>
      <sz val="12"/>
      <color rgb="FF000000"/>
      <name val="Calibri"/>
      <family val="2"/>
      <charset val="204"/>
    </font>
    <font>
      <sz val="12"/>
      <color rgb="FFFF000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</fills>
  <borders count="10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5"/>
      </top>
      <bottom/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65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5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96">
    <xf numFmtId="0" fontId="0" fillId="0" borderId="0"/>
    <xf numFmtId="0" fontId="48" fillId="2" borderId="0" applyNumberFormat="0" applyBorder="0" applyAlignment="0" applyProtection="0"/>
    <xf numFmtId="0" fontId="48" fillId="3" borderId="0" applyNumberFormat="0" applyBorder="0" applyAlignment="0" applyProtection="0"/>
    <xf numFmtId="0" fontId="48" fillId="4" borderId="0" applyNumberFormat="0" applyBorder="0" applyAlignment="0" applyProtection="0"/>
    <xf numFmtId="0" fontId="48" fillId="5" borderId="0" applyNumberFormat="0" applyBorder="0" applyAlignment="0" applyProtection="0"/>
    <xf numFmtId="0" fontId="48" fillId="6" borderId="0" applyNumberFormat="0" applyBorder="0" applyAlignment="0" applyProtection="0"/>
    <xf numFmtId="0" fontId="48" fillId="7" borderId="0" applyNumberFormat="0" applyBorder="0" applyAlignment="0" applyProtection="0"/>
    <xf numFmtId="0" fontId="48" fillId="8" borderId="0" applyNumberFormat="0" applyBorder="0" applyAlignment="0" applyProtection="0"/>
    <xf numFmtId="0" fontId="48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5" borderId="0" applyNumberFormat="0" applyBorder="0" applyAlignment="0" applyProtection="0"/>
    <xf numFmtId="0" fontId="48" fillId="8" borderId="0" applyNumberFormat="0" applyBorder="0" applyAlignment="0" applyProtection="0"/>
    <xf numFmtId="0" fontId="48" fillId="11" borderId="0" applyNumberFormat="0" applyBorder="0" applyAlignment="0" applyProtection="0"/>
    <xf numFmtId="0" fontId="49" fillId="12" borderId="0" applyNumberFormat="0" applyBorder="0" applyAlignment="0" applyProtection="0"/>
    <xf numFmtId="0" fontId="49" fillId="9" borderId="0" applyNumberFormat="0" applyBorder="0" applyAlignment="0" applyProtection="0"/>
    <xf numFmtId="0" fontId="49" fillId="10" borderId="0" applyNumberFormat="0" applyBorder="0" applyAlignment="0" applyProtection="0"/>
    <xf numFmtId="0" fontId="49" fillId="13" borderId="0" applyNumberFormat="0" applyBorder="0" applyAlignment="0" applyProtection="0"/>
    <xf numFmtId="0" fontId="49" fillId="14" borderId="0" applyNumberFormat="0" applyBorder="0" applyAlignment="0" applyProtection="0"/>
    <xf numFmtId="0" fontId="49" fillId="15" borderId="0" applyNumberFormat="0" applyBorder="0" applyAlignment="0" applyProtection="0"/>
    <xf numFmtId="0" fontId="49" fillId="16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17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9" fillId="19" borderId="0" applyNumberFormat="0" applyBorder="0" applyAlignment="0" applyProtection="0"/>
    <xf numFmtId="0" fontId="49" fillId="19" borderId="0" applyNumberFormat="0" applyBorder="0" applyAlignment="0" applyProtection="0"/>
    <xf numFmtId="0" fontId="50" fillId="7" borderId="1" applyNumberFormat="0" applyAlignment="0" applyProtection="0"/>
    <xf numFmtId="0" fontId="50" fillId="7" borderId="1" applyNumberFormat="0" applyAlignment="0" applyProtection="0"/>
    <xf numFmtId="0" fontId="51" fillId="20" borderId="2" applyNumberFormat="0" applyAlignment="0" applyProtection="0"/>
    <xf numFmtId="0" fontId="51" fillId="20" borderId="2" applyNumberFormat="0" applyAlignment="0" applyProtection="0"/>
    <xf numFmtId="0" fontId="52" fillId="20" borderId="1" applyNumberFormat="0" applyAlignment="0" applyProtection="0"/>
    <xf numFmtId="0" fontId="52" fillId="20" borderId="1" applyNumberFormat="0" applyAlignment="0" applyProtection="0"/>
    <xf numFmtId="0" fontId="53" fillId="0" borderId="3" applyNumberFormat="0" applyFill="0" applyAlignment="0" applyProtection="0"/>
    <xf numFmtId="0" fontId="53" fillId="0" borderId="3" applyNumberFormat="0" applyFill="0" applyAlignment="0" applyProtection="0"/>
    <xf numFmtId="0" fontId="54" fillId="0" borderId="4" applyNumberFormat="0" applyFill="0" applyAlignment="0" applyProtection="0"/>
    <xf numFmtId="0" fontId="54" fillId="0" borderId="4" applyNumberFormat="0" applyFill="0" applyAlignment="0" applyProtection="0"/>
    <xf numFmtId="0" fontId="55" fillId="0" borderId="5" applyNumberFormat="0" applyFill="0" applyAlignment="0" applyProtection="0"/>
    <xf numFmtId="0" fontId="55" fillId="0" borderId="5" applyNumberFormat="0" applyFill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6" applyNumberFormat="0" applyFill="0" applyAlignment="0" applyProtection="0"/>
    <xf numFmtId="0" fontId="56" fillId="0" borderId="6" applyNumberFormat="0" applyFill="0" applyAlignment="0" applyProtection="0"/>
    <xf numFmtId="0" fontId="57" fillId="21" borderId="7" applyNumberFormat="0" applyAlignment="0" applyProtection="0"/>
    <xf numFmtId="0" fontId="57" fillId="21" borderId="7" applyNumberFormat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6" fillId="0" borderId="0"/>
    <xf numFmtId="0" fontId="41" fillId="0" borderId="0"/>
    <xf numFmtId="0" fontId="72" fillId="0" borderId="0"/>
    <xf numFmtId="0" fontId="9" fillId="0" borderId="0"/>
    <xf numFmtId="0" fontId="11" fillId="0" borderId="0"/>
    <xf numFmtId="0" fontId="11" fillId="0" borderId="0"/>
    <xf numFmtId="0" fontId="48" fillId="0" borderId="0"/>
    <xf numFmtId="0" fontId="60" fillId="3" borderId="0" applyNumberFormat="0" applyBorder="0" applyAlignment="0" applyProtection="0"/>
    <xf numFmtId="0" fontId="60" fillId="3" borderId="0" applyNumberFormat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8" fillId="23" borderId="8" applyNumberFormat="0" applyFont="0" applyAlignment="0" applyProtection="0"/>
    <xf numFmtId="0" fontId="6" fillId="23" borderId="8" applyNumberFormat="0" applyFont="0" applyAlignment="0" applyProtection="0"/>
    <xf numFmtId="0" fontId="62" fillId="0" borderId="9" applyNumberFormat="0" applyFill="0" applyAlignment="0" applyProtection="0"/>
    <xf numFmtId="0" fontId="62" fillId="0" borderId="9" applyNumberFormat="0" applyFill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64" fillId="4" borderId="0" applyNumberFormat="0" applyBorder="0" applyAlignment="0" applyProtection="0"/>
    <xf numFmtId="0" fontId="64" fillId="4" borderId="0" applyNumberFormat="0" applyBorder="0" applyAlignment="0" applyProtection="0"/>
    <xf numFmtId="0" fontId="6" fillId="0" borderId="0"/>
    <xf numFmtId="0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4" fillId="0" borderId="0"/>
    <xf numFmtId="0" fontId="79" fillId="0" borderId="0"/>
    <xf numFmtId="0" fontId="6" fillId="0" borderId="0"/>
    <xf numFmtId="0" fontId="3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</cellStyleXfs>
  <cellXfs count="842">
    <xf numFmtId="0" fontId="0" fillId="0" borderId="0" xfId="0"/>
    <xf numFmtId="0" fontId="14" fillId="0" borderId="0" xfId="56" applyFont="1"/>
    <xf numFmtId="0" fontId="14" fillId="0" borderId="0" xfId="56" applyFont="1" applyAlignment="1">
      <alignment vertical="center" wrapText="1"/>
    </xf>
    <xf numFmtId="49" fontId="12" fillId="0" borderId="0" xfId="56" applyNumberFormat="1" applyFont="1" applyAlignment="1">
      <alignment horizontal="centerContinuous"/>
    </xf>
    <xf numFmtId="0" fontId="12" fillId="0" borderId="0" xfId="56" applyFont="1" applyAlignment="1">
      <alignment horizontal="center"/>
    </xf>
    <xf numFmtId="1" fontId="12" fillId="0" borderId="0" xfId="56" applyNumberFormat="1" applyFont="1"/>
    <xf numFmtId="0" fontId="15" fillId="0" borderId="0" xfId="56" applyFont="1" applyAlignment="1">
      <alignment vertical="center" wrapText="1"/>
    </xf>
    <xf numFmtId="0" fontId="15" fillId="24" borderId="0" xfId="56" applyFont="1" applyFill="1" applyAlignment="1">
      <alignment vertical="center" wrapText="1"/>
    </xf>
    <xf numFmtId="49" fontId="14" fillId="0" borderId="0" xfId="56" applyNumberFormat="1" applyFont="1"/>
    <xf numFmtId="0" fontId="15" fillId="0" borderId="0" xfId="56" applyFont="1"/>
    <xf numFmtId="49" fontId="15" fillId="0" borderId="0" xfId="56" applyNumberFormat="1" applyFont="1"/>
    <xf numFmtId="4" fontId="25" fillId="0" borderId="0" xfId="56" applyNumberFormat="1" applyFont="1" applyAlignment="1">
      <alignment horizontal="center"/>
    </xf>
    <xf numFmtId="4" fontId="15" fillId="0" borderId="0" xfId="56" applyNumberFormat="1" applyFont="1" applyAlignment="1">
      <alignment horizontal="center"/>
    </xf>
    <xf numFmtId="0" fontId="26" fillId="0" borderId="0" xfId="56" applyFont="1" applyAlignment="1">
      <alignment vertical="center" wrapText="1"/>
    </xf>
    <xf numFmtId="0" fontId="27" fillId="0" borderId="0" xfId="56" applyFont="1" applyAlignment="1">
      <alignment vertical="center" wrapText="1"/>
    </xf>
    <xf numFmtId="0" fontId="15" fillId="0" borderId="0" xfId="57" applyFont="1" applyBorder="1" applyAlignment="1">
      <alignment vertical="center" wrapText="1"/>
    </xf>
    <xf numFmtId="0" fontId="15" fillId="0" borderId="0" xfId="57" applyFont="1" applyBorder="1" applyAlignment="1">
      <alignment horizontal="center" vertical="center"/>
    </xf>
    <xf numFmtId="4" fontId="15" fillId="0" borderId="0" xfId="57" applyNumberFormat="1" applyFont="1" applyBorder="1" applyAlignment="1">
      <alignment horizontal="center" vertical="center" wrapText="1"/>
    </xf>
    <xf numFmtId="0" fontId="15" fillId="0" borderId="0" xfId="56" applyFont="1" applyAlignment="1">
      <alignment horizontal="center"/>
    </xf>
    <xf numFmtId="3" fontId="15" fillId="0" borderId="0" xfId="56" applyNumberFormat="1" applyFont="1" applyAlignment="1">
      <alignment horizontal="center"/>
    </xf>
    <xf numFmtId="0" fontId="15" fillId="0" borderId="0" xfId="57" applyFont="1" applyBorder="1"/>
    <xf numFmtId="1" fontId="15" fillId="0" borderId="0" xfId="57" applyNumberFormat="1" applyFont="1" applyFill="1" applyBorder="1" applyAlignment="1">
      <alignment horizontal="center"/>
    </xf>
    <xf numFmtId="4" fontId="15" fillId="0" borderId="0" xfId="56" applyNumberFormat="1" applyFont="1" applyBorder="1" applyAlignment="1">
      <alignment horizontal="center"/>
    </xf>
    <xf numFmtId="0" fontId="15" fillId="0" borderId="0" xfId="56" applyFont="1" applyAlignment="1">
      <alignment horizontal="left"/>
    </xf>
    <xf numFmtId="0" fontId="10" fillId="0" borderId="0" xfId="56" applyFont="1" applyAlignment="1">
      <alignment vertical="center" wrapText="1"/>
    </xf>
    <xf numFmtId="0" fontId="12" fillId="0" borderId="0" xfId="56" applyFont="1" applyAlignment="1">
      <alignment vertical="center" wrapText="1"/>
    </xf>
    <xf numFmtId="0" fontId="20" fillId="0" borderId="0" xfId="56" applyFont="1" applyAlignment="1">
      <alignment horizontal="centerContinuous"/>
    </xf>
    <xf numFmtId="0" fontId="10" fillId="0" borderId="0" xfId="56" applyFont="1" applyAlignment="1">
      <alignment horizontal="center"/>
    </xf>
    <xf numFmtId="0" fontId="10" fillId="0" borderId="0" xfId="57" applyFont="1" applyBorder="1" applyAlignment="1">
      <alignment vertical="center" wrapText="1"/>
    </xf>
    <xf numFmtId="0" fontId="10" fillId="0" borderId="0" xfId="57" applyFont="1" applyBorder="1"/>
    <xf numFmtId="0" fontId="15" fillId="0" borderId="0" xfId="56" applyFont="1" applyFill="1"/>
    <xf numFmtId="49" fontId="15" fillId="0" borderId="0" xfId="56" applyNumberFormat="1" applyFont="1" applyFill="1" applyAlignment="1">
      <alignment horizontal="center"/>
    </xf>
    <xf numFmtId="4" fontId="15" fillId="0" borderId="0" xfId="56" applyNumberFormat="1" applyFont="1" applyAlignment="1">
      <alignment horizontal="right"/>
    </xf>
    <xf numFmtId="1" fontId="10" fillId="0" borderId="0" xfId="57" applyNumberFormat="1" applyFont="1" applyFill="1" applyBorder="1" applyAlignment="1">
      <alignment horizontal="center"/>
    </xf>
    <xf numFmtId="0" fontId="14" fillId="0" borderId="0" xfId="56" applyFont="1" applyFill="1" applyAlignment="1">
      <alignment horizontal="left" vertical="center" wrapText="1"/>
    </xf>
    <xf numFmtId="0" fontId="15" fillId="0" borderId="0" xfId="58" applyFont="1" applyFill="1" applyAlignment="1">
      <alignment horizontal="right" vertical="center"/>
    </xf>
    <xf numFmtId="0" fontId="13" fillId="0" borderId="0" xfId="58" applyFont="1" applyFill="1" applyBorder="1" applyAlignment="1">
      <alignment horizontal="centerContinuous" vertical="center" wrapText="1"/>
    </xf>
    <xf numFmtId="0" fontId="13" fillId="0" borderId="0" xfId="56" applyFont="1" applyFill="1" applyAlignment="1">
      <alignment horizontal="left" vertical="center" wrapText="1"/>
    </xf>
    <xf numFmtId="49" fontId="15" fillId="0" borderId="10" xfId="56" applyNumberFormat="1" applyFont="1" applyFill="1" applyBorder="1" applyAlignment="1">
      <alignment horizontal="center" vertical="center" wrapText="1"/>
    </xf>
    <xf numFmtId="49" fontId="27" fillId="0" borderId="10" xfId="56" applyNumberFormat="1" applyFont="1" applyFill="1" applyBorder="1" applyAlignment="1">
      <alignment horizontal="center" vertical="center" wrapText="1"/>
    </xf>
    <xf numFmtId="4" fontId="12" fillId="0" borderId="11" xfId="56" applyNumberFormat="1" applyFont="1" applyBorder="1" applyAlignment="1">
      <alignment horizontal="centerContinuous" vertical="center" wrapText="1"/>
    </xf>
    <xf numFmtId="49" fontId="15" fillId="0" borderId="0" xfId="56" applyNumberFormat="1" applyFont="1" applyFill="1" applyAlignment="1">
      <alignment horizontal="center" vertical="center" wrapText="1"/>
    </xf>
    <xf numFmtId="49" fontId="15" fillId="0" borderId="0" xfId="56" applyNumberFormat="1" applyFont="1" applyFill="1" applyBorder="1" applyAlignment="1"/>
    <xf numFmtId="1" fontId="13" fillId="0" borderId="0" xfId="56" applyNumberFormat="1" applyFont="1" applyFill="1" applyBorder="1" applyAlignment="1">
      <alignment horizontal="centerContinuous" wrapText="1"/>
    </xf>
    <xf numFmtId="4" fontId="13" fillId="0" borderId="0" xfId="56" applyNumberFormat="1" applyFont="1" applyFill="1" applyBorder="1" applyAlignment="1">
      <alignment horizontal="centerContinuous" wrapText="1"/>
    </xf>
    <xf numFmtId="3" fontId="13" fillId="0" borderId="0" xfId="56" applyNumberFormat="1" applyFont="1" applyFill="1" applyBorder="1" applyAlignment="1">
      <alignment horizontal="centerContinuous" wrapText="1"/>
    </xf>
    <xf numFmtId="1" fontId="12" fillId="0" borderId="0" xfId="56" applyNumberFormat="1" applyFont="1" applyFill="1" applyBorder="1"/>
    <xf numFmtId="0" fontId="31" fillId="0" borderId="0" xfId="56" applyFont="1" applyAlignment="1">
      <alignment horizontal="centerContinuous" vertical="center" wrapText="1"/>
    </xf>
    <xf numFmtId="0" fontId="29" fillId="0" borderId="0" xfId="56" applyFont="1" applyAlignment="1">
      <alignment horizontal="centerContinuous"/>
    </xf>
    <xf numFmtId="4" fontId="31" fillId="0" borderId="0" xfId="56" applyNumberFormat="1" applyFont="1" applyAlignment="1">
      <alignment horizontal="centerContinuous" vertical="center" wrapText="1"/>
    </xf>
    <xf numFmtId="49" fontId="15" fillId="0" borderId="0" xfId="56" applyNumberFormat="1" applyFont="1" applyFill="1" applyAlignment="1">
      <alignment horizontal="center" vertical="center"/>
    </xf>
    <xf numFmtId="49" fontId="15" fillId="0" borderId="10" xfId="56" applyNumberFormat="1" applyFont="1" applyFill="1" applyBorder="1" applyAlignment="1">
      <alignment horizontal="center" vertical="center"/>
    </xf>
    <xf numFmtId="0" fontId="15" fillId="0" borderId="0" xfId="56" applyNumberFormat="1" applyFont="1" applyFill="1" applyAlignment="1">
      <alignment horizontal="center" vertical="center"/>
    </xf>
    <xf numFmtId="0" fontId="32" fillId="0" borderId="0" xfId="56" applyFont="1" applyAlignment="1">
      <alignment vertical="center" wrapText="1"/>
    </xf>
    <xf numFmtId="3" fontId="12" fillId="0" borderId="12" xfId="56" applyNumberFormat="1" applyFont="1" applyFill="1" applyBorder="1" applyAlignment="1">
      <alignment horizontal="center" vertical="center" wrapText="1"/>
    </xf>
    <xf numFmtId="0" fontId="15" fillId="0" borderId="10" xfId="56" applyNumberFormat="1" applyFont="1" applyFill="1" applyBorder="1" applyAlignment="1">
      <alignment horizontal="center" vertical="center" wrapText="1"/>
    </xf>
    <xf numFmtId="0" fontId="15" fillId="0" borderId="0" xfId="56" applyNumberFormat="1" applyFont="1" applyFill="1" applyBorder="1" applyAlignment="1">
      <alignment horizontal="center" vertical="center" wrapText="1"/>
    </xf>
    <xf numFmtId="0" fontId="23" fillId="0" borderId="10" xfId="56" applyNumberFormat="1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vertical="top" wrapText="1"/>
    </xf>
    <xf numFmtId="0" fontId="15" fillId="0" borderId="14" xfId="0" applyFont="1" applyFill="1" applyBorder="1" applyAlignment="1">
      <alignment vertical="top" wrapText="1"/>
    </xf>
    <xf numFmtId="0" fontId="12" fillId="25" borderId="13" xfId="0" applyFont="1" applyFill="1" applyBorder="1" applyAlignment="1">
      <alignment vertical="top" wrapText="1"/>
    </xf>
    <xf numFmtId="0" fontId="12" fillId="0" borderId="0" xfId="56" applyFont="1" applyAlignment="1">
      <alignment horizontal="left"/>
    </xf>
    <xf numFmtId="49" fontId="27" fillId="0" borderId="0" xfId="56" applyNumberFormat="1" applyFont="1" applyFill="1" applyBorder="1" applyAlignment="1">
      <alignment horizontal="center" vertical="center" wrapText="1"/>
    </xf>
    <xf numFmtId="49" fontId="26" fillId="0" borderId="0" xfId="56" applyNumberFormat="1" applyFont="1" applyFill="1" applyBorder="1" applyAlignment="1">
      <alignment horizontal="center" vertical="center" wrapText="1"/>
    </xf>
    <xf numFmtId="0" fontId="27" fillId="0" borderId="0" xfId="56" applyFont="1" applyFill="1" applyAlignment="1">
      <alignment vertical="center" wrapText="1"/>
    </xf>
    <xf numFmtId="0" fontId="12" fillId="0" borderId="0" xfId="56" applyNumberFormat="1" applyFont="1" applyFill="1" applyBorder="1" applyAlignment="1">
      <alignment horizontal="center" vertical="center" wrapText="1"/>
    </xf>
    <xf numFmtId="49" fontId="23" fillId="0" borderId="0" xfId="56" applyNumberFormat="1" applyFont="1" applyFill="1" applyAlignment="1">
      <alignment horizontal="center" vertical="center"/>
    </xf>
    <xf numFmtId="0" fontId="23" fillId="0" borderId="0" xfId="56" applyFont="1" applyFill="1"/>
    <xf numFmtId="0" fontId="12" fillId="0" borderId="13" xfId="56" applyFont="1" applyBorder="1" applyAlignment="1">
      <alignment horizontal="center" vertical="center" wrapText="1"/>
    </xf>
    <xf numFmtId="4" fontId="12" fillId="0" borderId="15" xfId="56" applyNumberFormat="1" applyFont="1" applyBorder="1" applyAlignment="1">
      <alignment horizontal="centerContinuous" vertical="center" wrapText="1"/>
    </xf>
    <xf numFmtId="4" fontId="12" fillId="0" borderId="13" xfId="56" applyNumberFormat="1" applyFont="1" applyFill="1" applyBorder="1" applyAlignment="1">
      <alignment horizontal="center" vertical="center" wrapText="1"/>
    </xf>
    <xf numFmtId="0" fontId="10" fillId="26" borderId="16" xfId="0" applyFont="1" applyFill="1" applyBorder="1" applyAlignment="1">
      <alignment horizontal="right"/>
    </xf>
    <xf numFmtId="0" fontId="10" fillId="26" borderId="17" xfId="0" applyFont="1" applyFill="1" applyBorder="1" applyAlignment="1">
      <alignment horizontal="right"/>
    </xf>
    <xf numFmtId="0" fontId="10" fillId="26" borderId="18" xfId="0" applyFont="1" applyFill="1" applyBorder="1" applyAlignment="1">
      <alignment horizontal="right"/>
    </xf>
    <xf numFmtId="0" fontId="10" fillId="25" borderId="19" xfId="0" applyFont="1" applyFill="1" applyBorder="1"/>
    <xf numFmtId="0" fontId="10" fillId="25" borderId="20" xfId="0" applyFont="1" applyFill="1" applyBorder="1"/>
    <xf numFmtId="0" fontId="10" fillId="25" borderId="21" xfId="0" applyFont="1" applyFill="1" applyBorder="1"/>
    <xf numFmtId="0" fontId="0" fillId="0" borderId="22" xfId="0" pivotButton="1" applyBorder="1" applyAlignment="1">
      <alignment vertical="top"/>
    </xf>
    <xf numFmtId="0" fontId="0" fillId="0" borderId="23" xfId="0" applyBorder="1" applyAlignment="1">
      <alignment vertical="top"/>
    </xf>
    <xf numFmtId="0" fontId="7" fillId="0" borderId="22" xfId="0" applyFont="1" applyBorder="1" applyAlignment="1">
      <alignment vertical="top" wrapText="1"/>
    </xf>
    <xf numFmtId="0" fontId="0" fillId="0" borderId="22" xfId="0" applyBorder="1" applyAlignment="1">
      <alignment vertical="top"/>
    </xf>
    <xf numFmtId="0" fontId="0" fillId="0" borderId="24" xfId="0" applyBorder="1" applyAlignment="1">
      <alignment vertical="top"/>
    </xf>
    <xf numFmtId="0" fontId="39" fillId="0" borderId="0" xfId="0" applyFont="1" applyAlignment="1">
      <alignment horizontal="right"/>
    </xf>
    <xf numFmtId="0" fontId="40" fillId="25" borderId="25" xfId="0" applyFont="1" applyFill="1" applyBorder="1" applyAlignment="1">
      <alignment vertical="top"/>
    </xf>
    <xf numFmtId="0" fontId="40" fillId="25" borderId="26" xfId="0" applyFont="1" applyFill="1" applyBorder="1" applyAlignment="1">
      <alignment vertical="top"/>
    </xf>
    <xf numFmtId="0" fontId="38" fillId="0" borderId="13" xfId="0" applyFont="1" applyBorder="1" applyAlignment="1">
      <alignment vertical="center"/>
    </xf>
    <xf numFmtId="0" fontId="41" fillId="0" borderId="13" xfId="0" applyFont="1" applyBorder="1" applyAlignment="1">
      <alignment vertical="center"/>
    </xf>
    <xf numFmtId="0" fontId="41" fillId="0" borderId="13" xfId="0" applyFont="1" applyFill="1" applyBorder="1" applyAlignment="1">
      <alignment vertical="center"/>
    </xf>
    <xf numFmtId="0" fontId="41" fillId="0" borderId="13" xfId="0" applyFont="1" applyFill="1" applyBorder="1" applyAlignment="1">
      <alignment horizontal="left" vertical="center" wrapText="1"/>
    </xf>
    <xf numFmtId="168" fontId="41" fillId="0" borderId="13" xfId="71" applyNumberFormat="1" applyFont="1" applyFill="1" applyBorder="1" applyAlignment="1">
      <alignment horizontal="center" vertical="center"/>
    </xf>
    <xf numFmtId="166" fontId="41" fillId="0" borderId="13" xfId="71" applyNumberFormat="1" applyFont="1" applyFill="1" applyBorder="1" applyAlignment="1">
      <alignment horizontal="center" vertical="center" wrapText="1"/>
    </xf>
    <xf numFmtId="0" fontId="41" fillId="0" borderId="13" xfId="0" applyFont="1" applyFill="1" applyBorder="1" applyAlignment="1">
      <alignment vertical="center" wrapText="1"/>
    </xf>
    <xf numFmtId="0" fontId="41" fillId="0" borderId="13" xfId="0" applyFont="1" applyFill="1" applyBorder="1" applyAlignment="1">
      <alignment horizontal="center" vertical="center" wrapText="1"/>
    </xf>
    <xf numFmtId="0" fontId="41" fillId="0" borderId="13" xfId="57" applyNumberFormat="1" applyFont="1" applyFill="1" applyBorder="1" applyAlignment="1">
      <alignment horizontal="left" vertical="center" wrapText="1"/>
    </xf>
    <xf numFmtId="0" fontId="41" fillId="0" borderId="13" xfId="0" applyFont="1" applyFill="1" applyBorder="1" applyAlignment="1">
      <alignment horizontal="center" vertical="center"/>
    </xf>
    <xf numFmtId="0" fontId="41" fillId="0" borderId="13" xfId="57" applyFont="1" applyFill="1" applyBorder="1" applyAlignment="1">
      <alignment horizontal="center" vertical="center"/>
    </xf>
    <xf numFmtId="0" fontId="41" fillId="0" borderId="13" xfId="56" applyFont="1" applyFill="1" applyBorder="1" applyAlignment="1">
      <alignment vertical="center" wrapText="1"/>
    </xf>
    <xf numFmtId="0" fontId="41" fillId="0" borderId="13" xfId="56" applyNumberFormat="1" applyFont="1" applyFill="1" applyBorder="1" applyAlignment="1">
      <alignment horizontal="left" vertical="center" wrapText="1"/>
    </xf>
    <xf numFmtId="0" fontId="42" fillId="0" borderId="13" xfId="0" applyFont="1" applyFill="1" applyBorder="1" applyAlignment="1">
      <alignment horizontal="center" vertical="center" wrapText="1"/>
    </xf>
    <xf numFmtId="0" fontId="0" fillId="0" borderId="27" xfId="0" applyBorder="1"/>
    <xf numFmtId="0" fontId="38" fillId="0" borderId="13" xfId="0" applyFont="1" applyFill="1" applyBorder="1" applyAlignment="1">
      <alignment vertical="center" wrapText="1"/>
    </xf>
    <xf numFmtId="168" fontId="38" fillId="0" borderId="13" xfId="0" applyNumberFormat="1" applyFont="1" applyBorder="1"/>
    <xf numFmtId="0" fontId="0" fillId="0" borderId="0" xfId="0" applyAlignment="1">
      <alignment horizontal="centerContinuous"/>
    </xf>
    <xf numFmtId="0" fontId="0" fillId="0" borderId="28" xfId="0" applyBorder="1" applyAlignment="1">
      <alignment vertical="top"/>
    </xf>
    <xf numFmtId="0" fontId="40" fillId="0" borderId="29" xfId="0" pivotButton="1" applyFont="1" applyBorder="1" applyAlignment="1">
      <alignment vertical="top"/>
    </xf>
    <xf numFmtId="168" fontId="40" fillId="27" borderId="30" xfId="0" applyNumberFormat="1" applyFont="1" applyFill="1" applyBorder="1" applyAlignment="1">
      <alignment vertical="top"/>
    </xf>
    <xf numFmtId="168" fontId="0" fillId="28" borderId="31" xfId="0" applyNumberFormat="1" applyFill="1" applyBorder="1" applyAlignment="1">
      <alignment vertical="top"/>
    </xf>
    <xf numFmtId="0" fontId="0" fillId="0" borderId="22" xfId="0" applyNumberFormat="1" applyBorder="1" applyAlignment="1">
      <alignment horizontal="center" vertical="top"/>
    </xf>
    <xf numFmtId="169" fontId="40" fillId="25" borderId="25" xfId="0" applyNumberFormat="1" applyFont="1" applyFill="1" applyBorder="1" applyAlignment="1">
      <alignment horizontal="center" vertical="top"/>
    </xf>
    <xf numFmtId="0" fontId="40" fillId="0" borderId="32" xfId="0" pivotButton="1" applyFont="1" applyBorder="1" applyAlignment="1">
      <alignment horizontal="center" vertical="center"/>
    </xf>
    <xf numFmtId="0" fontId="40" fillId="0" borderId="32" xfId="0" applyFont="1" applyBorder="1" applyAlignment="1">
      <alignment horizontal="center" vertical="center"/>
    </xf>
    <xf numFmtId="168" fontId="40" fillId="27" borderId="33" xfId="0" applyNumberFormat="1" applyFont="1" applyFill="1" applyBorder="1" applyAlignment="1">
      <alignment horizontal="center" vertical="center" wrapText="1"/>
    </xf>
    <xf numFmtId="0" fontId="43" fillId="0" borderId="32" xfId="0" pivotButton="1" applyFont="1" applyBorder="1" applyAlignment="1">
      <alignment horizontal="center" vertical="center"/>
    </xf>
    <xf numFmtId="166" fontId="15" fillId="0" borderId="34" xfId="71" applyFont="1" applyFill="1" applyBorder="1" applyAlignment="1">
      <alignment vertical="top" wrapText="1"/>
    </xf>
    <xf numFmtId="166" fontId="15" fillId="0" borderId="34" xfId="71" applyFont="1" applyFill="1" applyBorder="1" applyAlignment="1">
      <alignment vertical="top"/>
    </xf>
    <xf numFmtId="49" fontId="12" fillId="0" borderId="35" xfId="56" applyNumberFormat="1" applyFont="1" applyBorder="1" applyAlignment="1">
      <alignment horizontal="center" vertical="top"/>
    </xf>
    <xf numFmtId="1" fontId="12" fillId="0" borderId="36" xfId="56" applyNumberFormat="1" applyFont="1" applyBorder="1" applyAlignment="1">
      <alignment horizontal="center" vertical="top"/>
    </xf>
    <xf numFmtId="1" fontId="12" fillId="0" borderId="37" xfId="56" applyNumberFormat="1" applyFont="1" applyBorder="1" applyAlignment="1">
      <alignment horizontal="center" vertical="top"/>
    </xf>
    <xf numFmtId="3" fontId="12" fillId="0" borderId="38" xfId="56" applyNumberFormat="1" applyFont="1" applyBorder="1" applyAlignment="1">
      <alignment horizontal="center" vertical="top"/>
    </xf>
    <xf numFmtId="168" fontId="12" fillId="25" borderId="12" xfId="71" applyNumberFormat="1" applyFont="1" applyFill="1" applyBorder="1" applyAlignment="1">
      <alignment vertical="top" wrapText="1"/>
    </xf>
    <xf numFmtId="0" fontId="10" fillId="25" borderId="34" xfId="0" applyFont="1" applyFill="1" applyBorder="1" applyAlignment="1">
      <alignment vertical="top"/>
    </xf>
    <xf numFmtId="166" fontId="15" fillId="25" borderId="34" xfId="71" applyFont="1" applyFill="1" applyBorder="1" applyAlignment="1">
      <alignment vertical="top"/>
    </xf>
    <xf numFmtId="49" fontId="10" fillId="24" borderId="39" xfId="56" applyNumberFormat="1" applyFont="1" applyFill="1" applyBorder="1" applyAlignment="1">
      <alignment vertical="top" wrapText="1"/>
    </xf>
    <xf numFmtId="0" fontId="10" fillId="24" borderId="34" xfId="0" applyFont="1" applyFill="1" applyBorder="1" applyAlignment="1">
      <alignment vertical="top"/>
    </xf>
    <xf numFmtId="166" fontId="15" fillId="24" borderId="34" xfId="71" applyFont="1" applyFill="1" applyBorder="1" applyAlignment="1">
      <alignment vertical="top"/>
    </xf>
    <xf numFmtId="49" fontId="20" fillId="24" borderId="39" xfId="56" applyNumberFormat="1" applyFont="1" applyFill="1" applyBorder="1" applyAlignment="1">
      <alignment vertical="top" wrapText="1"/>
    </xf>
    <xf numFmtId="0" fontId="20" fillId="29" borderId="34" xfId="0" applyFont="1" applyFill="1" applyBorder="1" applyAlignment="1">
      <alignment vertical="top"/>
    </xf>
    <xf numFmtId="166" fontId="12" fillId="29" borderId="34" xfId="71" applyFont="1" applyFill="1" applyBorder="1" applyAlignment="1">
      <alignment vertical="top"/>
    </xf>
    <xf numFmtId="49" fontId="20" fillId="25" borderId="39" xfId="56" applyNumberFormat="1" applyFont="1" applyFill="1" applyBorder="1" applyAlignment="1">
      <alignment vertical="top" wrapText="1"/>
    </xf>
    <xf numFmtId="0" fontId="20" fillId="25" borderId="34" xfId="0" applyFont="1" applyFill="1" applyBorder="1" applyAlignment="1">
      <alignment vertical="top"/>
    </xf>
    <xf numFmtId="166" fontId="12" fillId="25" borderId="34" xfId="71" applyFont="1" applyFill="1" applyBorder="1" applyAlignment="1">
      <alignment vertical="top"/>
    </xf>
    <xf numFmtId="0" fontId="10" fillId="0" borderId="34" xfId="0" applyFont="1" applyFill="1" applyBorder="1" applyAlignment="1">
      <alignment vertical="top"/>
    </xf>
    <xf numFmtId="49" fontId="10" fillId="0" borderId="39" xfId="56" applyNumberFormat="1" applyFont="1" applyFill="1" applyBorder="1" applyAlignment="1">
      <alignment vertical="top" wrapText="1"/>
    </xf>
    <xf numFmtId="49" fontId="17" fillId="0" borderId="39" xfId="56" applyNumberFormat="1" applyFont="1" applyBorder="1" applyAlignment="1">
      <alignment vertical="top" wrapText="1"/>
    </xf>
    <xf numFmtId="49" fontId="10" fillId="0" borderId="39" xfId="56" applyNumberFormat="1" applyFont="1" applyBorder="1" applyAlignment="1">
      <alignment vertical="top" wrapText="1"/>
    </xf>
    <xf numFmtId="49" fontId="17" fillId="0" borderId="35" xfId="56" applyNumberFormat="1" applyFont="1" applyBorder="1" applyAlignment="1">
      <alignment vertical="top" wrapText="1"/>
    </xf>
    <xf numFmtId="0" fontId="20" fillId="25" borderId="34" xfId="0" applyNumberFormat="1" applyFont="1" applyFill="1" applyBorder="1" applyAlignment="1">
      <alignment vertical="top" wrapText="1"/>
    </xf>
    <xf numFmtId="166" fontId="12" fillId="25" borderId="34" xfId="71" applyFont="1" applyFill="1" applyBorder="1" applyAlignment="1">
      <alignment vertical="top" wrapText="1"/>
    </xf>
    <xf numFmtId="0" fontId="10" fillId="0" borderId="34" xfId="0" applyNumberFormat="1" applyFont="1" applyBorder="1" applyAlignment="1">
      <alignment vertical="top" wrapText="1"/>
    </xf>
    <xf numFmtId="166" fontId="15" fillId="0" borderId="34" xfId="71" applyFont="1" applyBorder="1" applyAlignment="1">
      <alignment vertical="top" wrapText="1"/>
    </xf>
    <xf numFmtId="49" fontId="10" fillId="0" borderId="40" xfId="56" applyNumberFormat="1" applyFont="1" applyBorder="1" applyAlignment="1">
      <alignment vertical="top" wrapText="1"/>
    </xf>
    <xf numFmtId="49" fontId="10" fillId="0" borderId="41" xfId="56" applyNumberFormat="1" applyFont="1" applyBorder="1" applyAlignment="1">
      <alignment vertical="top" wrapText="1"/>
    </xf>
    <xf numFmtId="0" fontId="37" fillId="0" borderId="0" xfId="56" applyFont="1" applyBorder="1" applyAlignment="1">
      <alignment vertical="top" wrapText="1"/>
    </xf>
    <xf numFmtId="0" fontId="17" fillId="24" borderId="34" xfId="0" applyFont="1" applyFill="1" applyBorder="1" applyAlignment="1">
      <alignment vertical="top"/>
    </xf>
    <xf numFmtId="166" fontId="23" fillId="24" borderId="34" xfId="71" applyFont="1" applyFill="1" applyBorder="1" applyAlignment="1">
      <alignment vertical="top"/>
    </xf>
    <xf numFmtId="0" fontId="17" fillId="28" borderId="34" xfId="0" applyFont="1" applyFill="1" applyBorder="1" applyAlignment="1">
      <alignment vertical="top"/>
    </xf>
    <xf numFmtId="166" fontId="23" fillId="28" borderId="34" xfId="71" applyFont="1" applyFill="1" applyBorder="1" applyAlignment="1">
      <alignment vertical="top"/>
    </xf>
    <xf numFmtId="49" fontId="10" fillId="0" borderId="39" xfId="56" applyNumberFormat="1" applyFont="1" applyBorder="1" applyAlignment="1">
      <alignment vertical="top"/>
    </xf>
    <xf numFmtId="49" fontId="20" fillId="0" borderId="39" xfId="56" applyNumberFormat="1" applyFont="1" applyFill="1" applyBorder="1" applyAlignment="1">
      <alignment vertical="top" wrapText="1"/>
    </xf>
    <xf numFmtId="0" fontId="20" fillId="29" borderId="34" xfId="0" applyNumberFormat="1" applyFont="1" applyFill="1" applyBorder="1" applyAlignment="1">
      <alignment vertical="top" wrapText="1"/>
    </xf>
    <xf numFmtId="166" fontId="12" fillId="29" borderId="34" xfId="71" applyFont="1" applyFill="1" applyBorder="1" applyAlignment="1">
      <alignment vertical="top" wrapText="1"/>
    </xf>
    <xf numFmtId="49" fontId="10" fillId="0" borderId="42" xfId="56" applyNumberFormat="1" applyFont="1" applyBorder="1" applyAlignment="1">
      <alignment vertical="top" wrapText="1"/>
    </xf>
    <xf numFmtId="49" fontId="10" fillId="0" borderId="43" xfId="56" applyNumberFormat="1" applyFont="1" applyBorder="1" applyAlignment="1">
      <alignment vertical="top" wrapText="1"/>
    </xf>
    <xf numFmtId="49" fontId="17" fillId="0" borderId="41" xfId="56" applyNumberFormat="1" applyFont="1" applyBorder="1" applyAlignment="1">
      <alignment vertical="top" wrapText="1"/>
    </xf>
    <xf numFmtId="0" fontId="10" fillId="0" borderId="39" xfId="56" applyNumberFormat="1" applyFont="1" applyBorder="1" applyAlignment="1">
      <alignment vertical="top" wrapText="1"/>
    </xf>
    <xf numFmtId="0" fontId="10" fillId="0" borderId="39" xfId="56" applyNumberFormat="1" applyFont="1" applyFill="1" applyBorder="1" applyAlignment="1">
      <alignment vertical="top" wrapText="1"/>
    </xf>
    <xf numFmtId="0" fontId="10" fillId="0" borderId="43" xfId="56" applyNumberFormat="1" applyFont="1" applyBorder="1" applyAlignment="1">
      <alignment vertical="top" wrapText="1"/>
    </xf>
    <xf numFmtId="0" fontId="17" fillId="0" borderId="34" xfId="0" applyFont="1" applyFill="1" applyBorder="1" applyAlignment="1">
      <alignment vertical="top"/>
    </xf>
    <xf numFmtId="166" fontId="23" fillId="0" borderId="34" xfId="71" applyFont="1" applyFill="1" applyBorder="1" applyAlignment="1">
      <alignment vertical="top"/>
    </xf>
    <xf numFmtId="0" fontId="20" fillId="0" borderId="34" xfId="0" applyFont="1" applyFill="1" applyBorder="1" applyAlignment="1">
      <alignment vertical="top"/>
    </xf>
    <xf numFmtId="166" fontId="12" fillId="0" borderId="34" xfId="71" applyFont="1" applyFill="1" applyBorder="1" applyAlignment="1">
      <alignment vertical="top"/>
    </xf>
    <xf numFmtId="0" fontId="37" fillId="0" borderId="0" xfId="56" applyFont="1" applyFill="1" applyBorder="1" applyAlignment="1">
      <alignment vertical="top" wrapText="1"/>
    </xf>
    <xf numFmtId="49" fontId="36" fillId="0" borderId="39" xfId="56" applyNumberFormat="1" applyFont="1" applyFill="1" applyBorder="1" applyAlignment="1">
      <alignment vertical="top" wrapText="1"/>
    </xf>
    <xf numFmtId="0" fontId="23" fillId="0" borderId="13" xfId="56" applyFont="1" applyFill="1" applyBorder="1" applyAlignment="1">
      <alignment vertical="top" wrapText="1"/>
    </xf>
    <xf numFmtId="166" fontId="15" fillId="0" borderId="34" xfId="71" applyFont="1" applyBorder="1" applyAlignment="1">
      <alignment vertical="top"/>
    </xf>
    <xf numFmtId="49" fontId="15" fillId="0" borderId="39" xfId="56" applyNumberFormat="1" applyFont="1" applyBorder="1" applyAlignment="1">
      <alignment vertical="top"/>
    </xf>
    <xf numFmtId="49" fontId="15" fillId="0" borderId="13" xfId="56" applyNumberFormat="1" applyFont="1" applyBorder="1" applyAlignment="1">
      <alignment vertical="top"/>
    </xf>
    <xf numFmtId="3" fontId="14" fillId="28" borderId="12" xfId="56" applyNumberFormat="1" applyFont="1" applyFill="1" applyBorder="1" applyAlignment="1">
      <alignment vertical="top"/>
    </xf>
    <xf numFmtId="0" fontId="15" fillId="0" borderId="13" xfId="57" applyFont="1" applyFill="1" applyBorder="1" applyAlignment="1">
      <alignment vertical="top" wrapText="1"/>
    </xf>
    <xf numFmtId="0" fontId="10" fillId="0" borderId="34" xfId="57" applyFont="1" applyFill="1" applyBorder="1" applyAlignment="1">
      <alignment vertical="top" wrapText="1"/>
    </xf>
    <xf numFmtId="1" fontId="10" fillId="30" borderId="44" xfId="56" applyNumberFormat="1" applyFont="1" applyFill="1" applyBorder="1" applyAlignment="1">
      <alignment vertical="top" wrapText="1"/>
    </xf>
    <xf numFmtId="1" fontId="13" fillId="30" borderId="44" xfId="56" applyNumberFormat="1" applyFont="1" applyFill="1" applyBorder="1" applyAlignment="1">
      <alignment vertical="top" wrapText="1"/>
    </xf>
    <xf numFmtId="1" fontId="13" fillId="30" borderId="45" xfId="56" applyNumberFormat="1" applyFont="1" applyFill="1" applyBorder="1" applyAlignment="1">
      <alignment vertical="top" wrapText="1"/>
    </xf>
    <xf numFmtId="166" fontId="13" fillId="30" borderId="15" xfId="71" applyFont="1" applyFill="1" applyBorder="1" applyAlignment="1">
      <alignment vertical="top" wrapText="1"/>
    </xf>
    <xf numFmtId="168" fontId="13" fillId="30" borderId="11" xfId="71" applyNumberFormat="1" applyFont="1" applyFill="1" applyBorder="1" applyAlignment="1">
      <alignment vertical="top" wrapText="1"/>
    </xf>
    <xf numFmtId="49" fontId="10" fillId="25" borderId="39" xfId="56" applyNumberFormat="1" applyFont="1" applyFill="1" applyBorder="1" applyAlignment="1">
      <alignment vertical="top"/>
    </xf>
    <xf numFmtId="0" fontId="10" fillId="25" borderId="13" xfId="57" applyFont="1" applyFill="1" applyBorder="1" applyAlignment="1">
      <alignment vertical="top" wrapText="1"/>
    </xf>
    <xf numFmtId="0" fontId="12" fillId="25" borderId="10" xfId="57" applyFont="1" applyFill="1" applyBorder="1" applyAlignment="1">
      <alignment vertical="top" wrapText="1"/>
    </xf>
    <xf numFmtId="0" fontId="10" fillId="25" borderId="27" xfId="0" applyFont="1" applyFill="1" applyBorder="1" applyAlignment="1">
      <alignment vertical="top"/>
    </xf>
    <xf numFmtId="0" fontId="15" fillId="25" borderId="39" xfId="57" applyFont="1" applyFill="1" applyBorder="1" applyAlignment="1">
      <alignment vertical="top"/>
    </xf>
    <xf numFmtId="166" fontId="15" fillId="25" borderId="13" xfId="71" applyFont="1" applyFill="1" applyBorder="1" applyAlignment="1">
      <alignment vertical="top" wrapText="1"/>
    </xf>
    <xf numFmtId="49" fontId="10" fillId="24" borderId="13" xfId="0" applyNumberFormat="1" applyFont="1" applyFill="1" applyBorder="1" applyAlignment="1">
      <alignment vertical="top"/>
    </xf>
    <xf numFmtId="0" fontId="15" fillId="24" borderId="13" xfId="0" applyFont="1" applyFill="1" applyBorder="1" applyAlignment="1">
      <alignment vertical="top" wrapText="1"/>
    </xf>
    <xf numFmtId="0" fontId="10" fillId="24" borderId="10" xfId="0" applyFont="1" applyFill="1" applyBorder="1" applyAlignment="1">
      <alignment vertical="top"/>
    </xf>
    <xf numFmtId="0" fontId="15" fillId="24" borderId="39" xfId="0" applyFont="1" applyFill="1" applyBorder="1" applyAlignment="1">
      <alignment vertical="top"/>
    </xf>
    <xf numFmtId="166" fontId="15" fillId="24" borderId="13" xfId="71" applyFont="1" applyFill="1" applyBorder="1" applyAlignment="1">
      <alignment vertical="top"/>
    </xf>
    <xf numFmtId="168" fontId="15" fillId="0" borderId="12" xfId="71" applyNumberFormat="1" applyFont="1" applyFill="1" applyBorder="1" applyAlignment="1">
      <alignment vertical="top"/>
    </xf>
    <xf numFmtId="0" fontId="8" fillId="0" borderId="13" xfId="0" applyFont="1" applyFill="1" applyBorder="1" applyAlignment="1">
      <alignment vertical="top"/>
    </xf>
    <xf numFmtId="0" fontId="15" fillId="24" borderId="10" xfId="0" applyFont="1" applyFill="1" applyBorder="1" applyAlignment="1">
      <alignment vertical="top" wrapText="1"/>
    </xf>
    <xf numFmtId="0" fontId="8" fillId="0" borderId="10" xfId="0" applyFont="1" applyFill="1" applyBorder="1" applyAlignment="1">
      <alignment vertical="top" wrapText="1"/>
    </xf>
    <xf numFmtId="0" fontId="8" fillId="0" borderId="46" xfId="0" applyFont="1" applyFill="1" applyBorder="1" applyAlignment="1">
      <alignment vertical="top" wrapText="1"/>
    </xf>
    <xf numFmtId="1" fontId="8" fillId="0" borderId="13" xfId="0" applyNumberFormat="1" applyFont="1" applyFill="1" applyBorder="1" applyAlignment="1">
      <alignment vertical="top"/>
    </xf>
    <xf numFmtId="0" fontId="35" fillId="0" borderId="13" xfId="0" applyFont="1" applyBorder="1" applyAlignment="1">
      <alignment vertical="top" wrapText="1"/>
    </xf>
    <xf numFmtId="0" fontId="10" fillId="24" borderId="27" xfId="0" applyFont="1" applyFill="1" applyBorder="1" applyAlignment="1">
      <alignment vertical="top"/>
    </xf>
    <xf numFmtId="0" fontId="20" fillId="25" borderId="13" xfId="57" applyFont="1" applyFill="1" applyBorder="1" applyAlignment="1">
      <alignment vertical="top" wrapText="1"/>
    </xf>
    <xf numFmtId="0" fontId="20" fillId="25" borderId="10" xfId="0" applyFont="1" applyFill="1" applyBorder="1" applyAlignment="1">
      <alignment vertical="top"/>
    </xf>
    <xf numFmtId="0" fontId="12" fillId="25" borderId="39" xfId="57" applyFont="1" applyFill="1" applyBorder="1" applyAlignment="1">
      <alignment vertical="top"/>
    </xf>
    <xf numFmtId="166" fontId="12" fillId="25" borderId="13" xfId="71" applyFont="1" applyFill="1" applyBorder="1" applyAlignment="1">
      <alignment vertical="top"/>
    </xf>
    <xf numFmtId="168" fontId="12" fillId="25" borderId="12" xfId="71" applyNumberFormat="1" applyFont="1" applyFill="1" applyBorder="1" applyAlignment="1">
      <alignment vertical="top"/>
    </xf>
    <xf numFmtId="49" fontId="10" fillId="0" borderId="39" xfId="56" applyNumberFormat="1" applyFont="1" applyFill="1" applyBorder="1" applyAlignment="1">
      <alignment vertical="top"/>
    </xf>
    <xf numFmtId="0" fontId="10" fillId="0" borderId="10" xfId="0" applyFont="1" applyFill="1" applyBorder="1" applyAlignment="1">
      <alignment vertical="top"/>
    </xf>
    <xf numFmtId="49" fontId="10" fillId="0" borderId="13" xfId="57" applyNumberFormat="1" applyFont="1" applyFill="1" applyBorder="1" applyAlignment="1">
      <alignment vertical="top" wrapText="1"/>
    </xf>
    <xf numFmtId="0" fontId="15" fillId="0" borderId="39" xfId="57" applyFont="1" applyFill="1" applyBorder="1" applyAlignment="1">
      <alignment vertical="top"/>
    </xf>
    <xf numFmtId="0" fontId="20" fillId="25" borderId="13" xfId="0" applyFont="1" applyFill="1" applyBorder="1" applyAlignment="1">
      <alignment vertical="top"/>
    </xf>
    <xf numFmtId="0" fontId="12" fillId="25" borderId="39" xfId="0" applyFont="1" applyFill="1" applyBorder="1" applyAlignment="1">
      <alignment vertical="top"/>
    </xf>
    <xf numFmtId="168" fontId="22" fillId="25" borderId="12" xfId="71" applyNumberFormat="1" applyFont="1" applyFill="1" applyBorder="1" applyAlignment="1">
      <alignment vertical="top" wrapText="1"/>
    </xf>
    <xf numFmtId="0" fontId="16" fillId="0" borderId="39" xfId="56" applyFont="1" applyFill="1" applyBorder="1" applyAlignment="1">
      <alignment vertical="top" wrapText="1"/>
    </xf>
    <xf numFmtId="166" fontId="15" fillId="0" borderId="13" xfId="71" applyFont="1" applyFill="1" applyBorder="1" applyAlignment="1">
      <alignment vertical="top" wrapText="1"/>
    </xf>
    <xf numFmtId="0" fontId="15" fillId="0" borderId="39" xfId="0" applyFont="1" applyFill="1" applyBorder="1" applyAlignment="1">
      <alignment vertical="top"/>
    </xf>
    <xf numFmtId="0" fontId="15" fillId="0" borderId="39" xfId="0" applyFont="1" applyBorder="1" applyAlignment="1">
      <alignment vertical="top"/>
    </xf>
    <xf numFmtId="0" fontId="12" fillId="25" borderId="13" xfId="0" applyNumberFormat="1" applyFont="1" applyFill="1" applyBorder="1" applyAlignment="1">
      <alignment vertical="top" wrapText="1"/>
    </xf>
    <xf numFmtId="166" fontId="12" fillId="25" borderId="13" xfId="71" applyFont="1" applyFill="1" applyBorder="1" applyAlignment="1">
      <alignment vertical="top" wrapText="1"/>
    </xf>
    <xf numFmtId="1" fontId="19" fillId="25" borderId="13" xfId="0" applyNumberFormat="1" applyFont="1" applyFill="1" applyBorder="1" applyAlignment="1">
      <alignment vertical="top" wrapText="1"/>
    </xf>
    <xf numFmtId="0" fontId="20" fillId="25" borderId="13" xfId="56" applyFont="1" applyFill="1" applyBorder="1" applyAlignment="1">
      <alignment vertical="top" wrapText="1"/>
    </xf>
    <xf numFmtId="0" fontId="20" fillId="25" borderId="10" xfId="0" applyNumberFormat="1" applyFont="1" applyFill="1" applyBorder="1" applyAlignment="1">
      <alignment vertical="top" wrapText="1"/>
    </xf>
    <xf numFmtId="0" fontId="22" fillId="25" borderId="39" xfId="0" applyFont="1" applyFill="1" applyBorder="1" applyAlignment="1">
      <alignment vertical="top" wrapText="1"/>
    </xf>
    <xf numFmtId="49" fontId="20" fillId="29" borderId="13" xfId="57" applyNumberFormat="1" applyFont="1" applyFill="1" applyBorder="1" applyAlignment="1">
      <alignment vertical="top" wrapText="1"/>
    </xf>
    <xf numFmtId="0" fontId="15" fillId="0" borderId="10" xfId="0" applyFont="1" applyFill="1" applyBorder="1" applyAlignment="1">
      <alignment vertical="top" wrapText="1"/>
    </xf>
    <xf numFmtId="0" fontId="15" fillId="0" borderId="13" xfId="0" applyNumberFormat="1" applyFont="1" applyFill="1" applyBorder="1" applyAlignment="1">
      <alignment vertical="top" wrapText="1"/>
    </xf>
    <xf numFmtId="0" fontId="10" fillId="0" borderId="10" xfId="0" applyNumberFormat="1" applyFont="1" applyBorder="1" applyAlignment="1">
      <alignment vertical="top" wrapText="1"/>
    </xf>
    <xf numFmtId="0" fontId="16" fillId="0" borderId="39" xfId="0" applyFont="1" applyFill="1" applyBorder="1" applyAlignment="1">
      <alignment vertical="top" wrapText="1"/>
    </xf>
    <xf numFmtId="0" fontId="15" fillId="0" borderId="37" xfId="0" applyFont="1" applyFill="1" applyBorder="1" applyAlignment="1">
      <alignment vertical="top" wrapText="1"/>
    </xf>
    <xf numFmtId="0" fontId="10" fillId="24" borderId="47" xfId="0" applyFont="1" applyFill="1" applyBorder="1" applyAlignment="1">
      <alignment vertical="top"/>
    </xf>
    <xf numFmtId="49" fontId="10" fillId="0" borderId="48" xfId="57" applyNumberFormat="1" applyFont="1" applyFill="1" applyBorder="1" applyAlignment="1">
      <alignment vertical="top" wrapText="1"/>
    </xf>
    <xf numFmtId="0" fontId="15" fillId="0" borderId="49" xfId="57" applyFont="1" applyFill="1" applyBorder="1" applyAlignment="1">
      <alignment vertical="top" wrapText="1"/>
    </xf>
    <xf numFmtId="0" fontId="15" fillId="0" borderId="27" xfId="0" applyFont="1" applyFill="1" applyBorder="1" applyAlignment="1">
      <alignment vertical="top" wrapText="1"/>
    </xf>
    <xf numFmtId="0" fontId="15" fillId="0" borderId="49" xfId="0" applyNumberFormat="1" applyFont="1" applyFill="1" applyBorder="1" applyAlignment="1">
      <alignment vertical="top" wrapText="1"/>
    </xf>
    <xf numFmtId="0" fontId="15" fillId="24" borderId="27" xfId="0" applyFont="1" applyFill="1" applyBorder="1" applyAlignment="1">
      <alignment vertical="top" wrapText="1"/>
    </xf>
    <xf numFmtId="0" fontId="15" fillId="24" borderId="49" xfId="0" applyFont="1" applyFill="1" applyBorder="1" applyAlignment="1">
      <alignment vertical="top" wrapText="1"/>
    </xf>
    <xf numFmtId="0" fontId="15" fillId="0" borderId="49" xfId="0" applyFont="1" applyFill="1" applyBorder="1" applyAlignment="1">
      <alignment vertical="top" wrapText="1"/>
    </xf>
    <xf numFmtId="0" fontId="10" fillId="0" borderId="50" xfId="0" applyFont="1" applyFill="1" applyBorder="1" applyAlignment="1">
      <alignment vertical="top"/>
    </xf>
    <xf numFmtId="0" fontId="10" fillId="24" borderId="50" xfId="0" applyFont="1" applyFill="1" applyBorder="1" applyAlignment="1">
      <alignment vertical="top"/>
    </xf>
    <xf numFmtId="0" fontId="12" fillId="29" borderId="13" xfId="0" applyFont="1" applyFill="1" applyBorder="1" applyAlignment="1">
      <alignment vertical="top" wrapText="1"/>
    </xf>
    <xf numFmtId="0" fontId="20" fillId="29" borderId="27" xfId="0" applyFont="1" applyFill="1" applyBorder="1" applyAlignment="1">
      <alignment vertical="top"/>
    </xf>
    <xf numFmtId="0" fontId="12" fillId="29" borderId="39" xfId="57" applyFont="1" applyFill="1" applyBorder="1" applyAlignment="1">
      <alignment vertical="top"/>
    </xf>
    <xf numFmtId="166" fontId="12" fillId="29" borderId="13" xfId="71" applyFont="1" applyFill="1" applyBorder="1" applyAlignment="1">
      <alignment vertical="top" wrapText="1"/>
    </xf>
    <xf numFmtId="168" fontId="22" fillId="29" borderId="12" xfId="71" applyNumberFormat="1" applyFont="1" applyFill="1" applyBorder="1" applyAlignment="1">
      <alignment vertical="top" wrapText="1"/>
    </xf>
    <xf numFmtId="0" fontId="15" fillId="0" borderId="51" xfId="0" applyFont="1" applyFill="1" applyBorder="1" applyAlignment="1">
      <alignment vertical="top"/>
    </xf>
    <xf numFmtId="49" fontId="17" fillId="0" borderId="13" xfId="57" applyNumberFormat="1" applyFont="1" applyFill="1" applyBorder="1" applyAlignment="1">
      <alignment vertical="top" wrapText="1"/>
    </xf>
    <xf numFmtId="0" fontId="17" fillId="24" borderId="10" xfId="0" applyFont="1" applyFill="1" applyBorder="1" applyAlignment="1">
      <alignment vertical="top"/>
    </xf>
    <xf numFmtId="166" fontId="23" fillId="0" borderId="13" xfId="71" applyFont="1" applyFill="1" applyBorder="1" applyAlignment="1">
      <alignment vertical="top" wrapText="1"/>
    </xf>
    <xf numFmtId="168" fontId="23" fillId="0" borderId="12" xfId="71" applyNumberFormat="1" applyFont="1" applyFill="1" applyBorder="1" applyAlignment="1">
      <alignment vertical="top"/>
    </xf>
    <xf numFmtId="1" fontId="21" fillId="28" borderId="13" xfId="0" applyNumberFormat="1" applyFont="1" applyFill="1" applyBorder="1" applyAlignment="1">
      <alignment vertical="top" wrapText="1"/>
    </xf>
    <xf numFmtId="1" fontId="8" fillId="0" borderId="13" xfId="0" applyNumberFormat="1" applyFont="1" applyFill="1" applyBorder="1" applyAlignment="1">
      <alignment vertical="top" wrapText="1"/>
    </xf>
    <xf numFmtId="0" fontId="8" fillId="0" borderId="10" xfId="0" applyFont="1" applyFill="1" applyBorder="1" applyAlignment="1">
      <alignment vertical="top"/>
    </xf>
    <xf numFmtId="166" fontId="15" fillId="0" borderId="13" xfId="71" applyFont="1" applyFill="1" applyBorder="1" applyAlignment="1">
      <alignment vertical="top"/>
    </xf>
    <xf numFmtId="1" fontId="8" fillId="28" borderId="13" xfId="0" applyNumberFormat="1" applyFont="1" applyFill="1" applyBorder="1" applyAlignment="1">
      <alignment vertical="top"/>
    </xf>
    <xf numFmtId="1" fontId="8" fillId="29" borderId="13" xfId="0" applyNumberFormat="1" applyFont="1" applyFill="1" applyBorder="1" applyAlignment="1">
      <alignment vertical="top" wrapText="1"/>
    </xf>
    <xf numFmtId="168" fontId="15" fillId="29" borderId="12" xfId="71" applyNumberFormat="1" applyFont="1" applyFill="1" applyBorder="1" applyAlignment="1">
      <alignment vertical="top"/>
    </xf>
    <xf numFmtId="1" fontId="8" fillId="28" borderId="13" xfId="0" applyNumberFormat="1" applyFont="1" applyFill="1" applyBorder="1" applyAlignment="1">
      <alignment vertical="top" wrapText="1"/>
    </xf>
    <xf numFmtId="0" fontId="20" fillId="29" borderId="10" xfId="0" applyNumberFormat="1" applyFont="1" applyFill="1" applyBorder="1" applyAlignment="1">
      <alignment vertical="top" wrapText="1"/>
    </xf>
    <xf numFmtId="0" fontId="22" fillId="29" borderId="39" xfId="0" applyFont="1" applyFill="1" applyBorder="1" applyAlignment="1">
      <alignment vertical="top" wrapText="1"/>
    </xf>
    <xf numFmtId="49" fontId="20" fillId="25" borderId="13" xfId="57" applyNumberFormat="1" applyFont="1" applyFill="1" applyBorder="1" applyAlignment="1">
      <alignment vertical="top" wrapText="1"/>
    </xf>
    <xf numFmtId="49" fontId="10" fillId="0" borderId="37" xfId="57" applyNumberFormat="1" applyFont="1" applyFill="1" applyBorder="1" applyAlignment="1">
      <alignment vertical="top" wrapText="1"/>
    </xf>
    <xf numFmtId="0" fontId="15" fillId="0" borderId="52" xfId="0" applyFont="1" applyFill="1" applyBorder="1" applyAlignment="1">
      <alignment vertical="top" wrapText="1"/>
    </xf>
    <xf numFmtId="0" fontId="15" fillId="0" borderId="37" xfId="57" applyFont="1" applyFill="1" applyBorder="1" applyAlignment="1">
      <alignment vertical="top" wrapText="1"/>
    </xf>
    <xf numFmtId="49" fontId="17" fillId="0" borderId="37" xfId="57" applyNumberFormat="1" applyFont="1" applyFill="1" applyBorder="1" applyAlignment="1">
      <alignment vertical="top" wrapText="1"/>
    </xf>
    <xf numFmtId="0" fontId="17" fillId="24" borderId="50" xfId="0" applyFont="1" applyFill="1" applyBorder="1" applyAlignment="1">
      <alignment vertical="top"/>
    </xf>
    <xf numFmtId="1" fontId="21" fillId="28" borderId="13" xfId="0" applyNumberFormat="1" applyFont="1" applyFill="1" applyBorder="1" applyAlignment="1">
      <alignment vertical="top"/>
    </xf>
    <xf numFmtId="0" fontId="10" fillId="0" borderId="27" xfId="0" applyFont="1" applyFill="1" applyBorder="1" applyAlignment="1">
      <alignment vertical="top"/>
    </xf>
    <xf numFmtId="0" fontId="15" fillId="24" borderId="37" xfId="0" applyFont="1" applyFill="1" applyBorder="1" applyAlignment="1">
      <alignment vertical="top" wrapText="1"/>
    </xf>
    <xf numFmtId="0" fontId="10" fillId="0" borderId="47" xfId="0" applyFont="1" applyFill="1" applyBorder="1" applyAlignment="1">
      <alignment vertical="top"/>
    </xf>
    <xf numFmtId="0" fontId="20" fillId="0" borderId="13" xfId="56" applyFont="1" applyFill="1" applyBorder="1" applyAlignment="1">
      <alignment vertical="top" wrapText="1"/>
    </xf>
    <xf numFmtId="0" fontId="22" fillId="0" borderId="39" xfId="0" applyFont="1" applyFill="1" applyBorder="1" applyAlignment="1">
      <alignment vertical="top" wrapText="1"/>
    </xf>
    <xf numFmtId="166" fontId="12" fillId="0" borderId="13" xfId="71" applyFont="1" applyFill="1" applyBorder="1" applyAlignment="1">
      <alignment vertical="top" wrapText="1"/>
    </xf>
    <xf numFmtId="168" fontId="22" fillId="0" borderId="12" xfId="71" applyNumberFormat="1" applyFont="1" applyFill="1" applyBorder="1" applyAlignment="1">
      <alignment vertical="top" wrapText="1"/>
    </xf>
    <xf numFmtId="0" fontId="12" fillId="25" borderId="13" xfId="0" applyFont="1" applyFill="1" applyBorder="1" applyAlignment="1">
      <alignment vertical="top"/>
    </xf>
    <xf numFmtId="0" fontId="17" fillId="0" borderId="50" xfId="0" applyFont="1" applyFill="1" applyBorder="1" applyAlignment="1">
      <alignment vertical="top"/>
    </xf>
    <xf numFmtId="0" fontId="10" fillId="0" borderId="13" xfId="57" applyNumberFormat="1" applyFont="1" applyFill="1" applyBorder="1" applyAlignment="1">
      <alignment vertical="top" wrapText="1"/>
    </xf>
    <xf numFmtId="0" fontId="20" fillId="0" borderId="27" xfId="0" applyFont="1" applyFill="1" applyBorder="1" applyAlignment="1">
      <alignment vertical="top"/>
    </xf>
    <xf numFmtId="0" fontId="12" fillId="0" borderId="39" xfId="57" applyFont="1" applyFill="1" applyBorder="1" applyAlignment="1">
      <alignment vertical="top"/>
    </xf>
    <xf numFmtId="168" fontId="28" fillId="0" borderId="12" xfId="71" applyNumberFormat="1" applyFont="1" applyFill="1" applyBorder="1" applyAlignment="1">
      <alignment vertical="top" wrapText="1"/>
    </xf>
    <xf numFmtId="166" fontId="8" fillId="0" borderId="13" xfId="71" applyFont="1" applyFill="1" applyBorder="1" applyAlignment="1">
      <alignment vertical="top" wrapText="1"/>
    </xf>
    <xf numFmtId="0" fontId="15" fillId="0" borderId="13" xfId="0" applyFont="1" applyFill="1" applyBorder="1" applyAlignment="1">
      <alignment vertical="top"/>
    </xf>
    <xf numFmtId="0" fontId="36" fillId="0" borderId="13" xfId="56" applyFont="1" applyFill="1" applyBorder="1" applyAlignment="1">
      <alignment vertical="top" wrapText="1"/>
    </xf>
    <xf numFmtId="0" fontId="17" fillId="0" borderId="10" xfId="0" applyFont="1" applyFill="1" applyBorder="1" applyAlignment="1">
      <alignment vertical="top"/>
    </xf>
    <xf numFmtId="0" fontId="15" fillId="0" borderId="10" xfId="0" applyFont="1" applyFill="1" applyBorder="1" applyAlignment="1">
      <alignment vertical="top"/>
    </xf>
    <xf numFmtId="0" fontId="15" fillId="0" borderId="39" xfId="56" applyFont="1" applyBorder="1" applyAlignment="1">
      <alignment vertical="top"/>
    </xf>
    <xf numFmtId="3" fontId="15" fillId="0" borderId="12" xfId="56" applyNumberFormat="1" applyFont="1" applyBorder="1" applyAlignment="1">
      <alignment vertical="top"/>
    </xf>
    <xf numFmtId="0" fontId="10" fillId="0" borderId="34" xfId="56" applyFont="1" applyFill="1" applyBorder="1" applyAlignment="1">
      <alignment vertical="top" wrapText="1"/>
    </xf>
    <xf numFmtId="168" fontId="14" fillId="0" borderId="12" xfId="71" applyNumberFormat="1" applyFont="1" applyFill="1" applyBorder="1" applyAlignment="1">
      <alignment vertical="top"/>
    </xf>
    <xf numFmtId="3" fontId="14" fillId="0" borderId="12" xfId="56" applyNumberFormat="1" applyFont="1" applyBorder="1" applyAlignment="1">
      <alignment vertical="top"/>
    </xf>
    <xf numFmtId="0" fontId="17" fillId="28" borderId="34" xfId="56" applyFont="1" applyFill="1" applyBorder="1" applyAlignment="1">
      <alignment vertical="top" wrapText="1"/>
    </xf>
    <xf numFmtId="168" fontId="14" fillId="28" borderId="12" xfId="71" applyNumberFormat="1" applyFont="1" applyFill="1" applyBorder="1" applyAlignment="1">
      <alignment vertical="top"/>
    </xf>
    <xf numFmtId="0" fontId="10" fillId="28" borderId="34" xfId="56" applyFont="1" applyFill="1" applyBorder="1" applyAlignment="1">
      <alignment vertical="top" wrapText="1"/>
    </xf>
    <xf numFmtId="1" fontId="13" fillId="30" borderId="40" xfId="56" applyNumberFormat="1" applyFont="1" applyFill="1" applyBorder="1" applyAlignment="1">
      <alignment vertical="top"/>
    </xf>
    <xf numFmtId="0" fontId="20" fillId="29" borderId="13" xfId="57" applyFont="1" applyFill="1" applyBorder="1" applyAlignment="1">
      <alignment vertical="top" wrapText="1"/>
    </xf>
    <xf numFmtId="0" fontId="12" fillId="29" borderId="10" xfId="57" applyFont="1" applyFill="1" applyBorder="1" applyAlignment="1">
      <alignment vertical="top"/>
    </xf>
    <xf numFmtId="1" fontId="10" fillId="30" borderId="53" xfId="56" applyNumberFormat="1" applyFont="1" applyFill="1" applyBorder="1" applyAlignment="1">
      <alignment vertical="top" wrapText="1"/>
    </xf>
    <xf numFmtId="166" fontId="15" fillId="30" borderId="53" xfId="71" applyFont="1" applyFill="1" applyBorder="1" applyAlignment="1">
      <alignment vertical="top" wrapText="1"/>
    </xf>
    <xf numFmtId="1" fontId="12" fillId="0" borderId="54" xfId="56" applyNumberFormat="1" applyFont="1" applyBorder="1" applyAlignment="1">
      <alignment horizontal="center" vertical="top"/>
    </xf>
    <xf numFmtId="3" fontId="8" fillId="0" borderId="0" xfId="56" applyNumberFormat="1" applyFont="1" applyAlignment="1">
      <alignment horizontal="center"/>
    </xf>
    <xf numFmtId="3" fontId="19" fillId="0" borderId="0" xfId="56" applyNumberFormat="1" applyFont="1" applyFill="1" applyBorder="1" applyAlignment="1">
      <alignment horizontal="centerContinuous" wrapText="1"/>
    </xf>
    <xf numFmtId="0" fontId="19" fillId="0" borderId="0" xfId="56" applyFont="1" applyAlignment="1">
      <alignment vertical="center" wrapText="1"/>
    </xf>
    <xf numFmtId="0" fontId="19" fillId="0" borderId="0" xfId="56" applyFont="1" applyAlignment="1">
      <alignment horizontal="centerContinuous" vertical="center" wrapText="1"/>
    </xf>
    <xf numFmtId="4" fontId="8" fillId="0" borderId="0" xfId="56" applyNumberFormat="1" applyFont="1" applyAlignment="1">
      <alignment horizontal="center"/>
    </xf>
    <xf numFmtId="4" fontId="19" fillId="0" borderId="15" xfId="56" applyNumberFormat="1" applyFont="1" applyBorder="1" applyAlignment="1">
      <alignment horizontal="centerContinuous" vertical="center" wrapText="1"/>
    </xf>
    <xf numFmtId="0" fontId="19" fillId="0" borderId="13" xfId="56" applyFont="1" applyBorder="1" applyAlignment="1">
      <alignment horizontal="center" vertical="center" wrapText="1"/>
    </xf>
    <xf numFmtId="3" fontId="19" fillId="0" borderId="37" xfId="56" applyNumberFormat="1" applyFont="1" applyBorder="1" applyAlignment="1">
      <alignment horizontal="center" vertical="top"/>
    </xf>
    <xf numFmtId="168" fontId="19" fillId="30" borderId="15" xfId="71" applyNumberFormat="1" applyFont="1" applyFill="1" applyBorder="1" applyAlignment="1">
      <alignment vertical="top" wrapText="1"/>
    </xf>
    <xf numFmtId="168" fontId="19" fillId="25" borderId="13" xfId="71" applyNumberFormat="1" applyFont="1" applyFill="1" applyBorder="1" applyAlignment="1">
      <alignment vertical="top" wrapText="1"/>
    </xf>
    <xf numFmtId="168" fontId="44" fillId="29" borderId="13" xfId="71" applyNumberFormat="1" applyFont="1" applyFill="1" applyBorder="1" applyAlignment="1">
      <alignment vertical="top" wrapText="1"/>
    </xf>
    <xf numFmtId="168" fontId="8" fillId="0" borderId="13" xfId="71" applyNumberFormat="1" applyFont="1" applyFill="1" applyBorder="1" applyAlignment="1">
      <alignment vertical="top"/>
    </xf>
    <xf numFmtId="166" fontId="8" fillId="24" borderId="13" xfId="71" applyFont="1" applyFill="1" applyBorder="1" applyAlignment="1">
      <alignment vertical="top"/>
    </xf>
    <xf numFmtId="168" fontId="44" fillId="25" borderId="13" xfId="71" applyNumberFormat="1" applyFont="1" applyFill="1" applyBorder="1" applyAlignment="1">
      <alignment vertical="top" wrapText="1"/>
    </xf>
    <xf numFmtId="168" fontId="8" fillId="0" borderId="13" xfId="71" applyNumberFormat="1" applyFont="1" applyFill="1" applyBorder="1" applyAlignment="1">
      <alignment vertical="top" wrapText="1"/>
    </xf>
    <xf numFmtId="168" fontId="8" fillId="24" borderId="13" xfId="71" applyNumberFormat="1" applyFont="1" applyFill="1" applyBorder="1" applyAlignment="1">
      <alignment vertical="top"/>
    </xf>
    <xf numFmtId="168" fontId="45" fillId="0" borderId="13" xfId="71" applyNumberFormat="1" applyFont="1" applyFill="1" applyBorder="1" applyAlignment="1">
      <alignment vertical="top" wrapText="1"/>
    </xf>
    <xf numFmtId="168" fontId="46" fillId="0" borderId="13" xfId="71" applyNumberFormat="1" applyFont="1" applyFill="1" applyBorder="1" applyAlignment="1">
      <alignment vertical="top" wrapText="1"/>
    </xf>
    <xf numFmtId="0" fontId="8" fillId="28" borderId="13" xfId="56" applyFont="1" applyFill="1" applyBorder="1" applyAlignment="1">
      <alignment vertical="top" wrapText="1"/>
    </xf>
    <xf numFmtId="168" fontId="44" fillId="0" borderId="13" xfId="71" applyNumberFormat="1" applyFont="1" applyFill="1" applyBorder="1" applyAlignment="1">
      <alignment vertical="top" wrapText="1"/>
    </xf>
    <xf numFmtId="168" fontId="47" fillId="0" borderId="13" xfId="71" applyNumberFormat="1" applyFont="1" applyFill="1" applyBorder="1" applyAlignment="1">
      <alignment vertical="top" wrapText="1"/>
    </xf>
    <xf numFmtId="3" fontId="8" fillId="28" borderId="13" xfId="58" applyNumberFormat="1" applyFont="1" applyFill="1" applyBorder="1" applyAlignment="1">
      <alignment vertical="top" wrapText="1"/>
    </xf>
    <xf numFmtId="168" fontId="8" fillId="28" borderId="13" xfId="71" applyNumberFormat="1" applyFont="1" applyFill="1" applyBorder="1" applyAlignment="1">
      <alignment vertical="top" wrapText="1"/>
    </xf>
    <xf numFmtId="3" fontId="8" fillId="0" borderId="0" xfId="57" applyNumberFormat="1" applyFont="1" applyBorder="1" applyAlignment="1">
      <alignment horizontal="center" vertical="center" wrapText="1"/>
    </xf>
    <xf numFmtId="3" fontId="8" fillId="0" borderId="0" xfId="56" applyNumberFormat="1" applyFont="1" applyBorder="1" applyAlignment="1">
      <alignment horizontal="center"/>
    </xf>
    <xf numFmtId="0" fontId="15" fillId="0" borderId="39" xfId="0" applyFont="1" applyFill="1" applyBorder="1" applyAlignment="1">
      <alignment vertical="top" wrapText="1"/>
    </xf>
    <xf numFmtId="0" fontId="23" fillId="0" borderId="39" xfId="0" applyFont="1" applyFill="1" applyBorder="1" applyAlignment="1">
      <alignment vertical="top" wrapText="1"/>
    </xf>
    <xf numFmtId="2" fontId="15" fillId="0" borderId="39" xfId="0" applyNumberFormat="1" applyFont="1" applyFill="1" applyBorder="1" applyAlignment="1">
      <alignment vertical="top"/>
    </xf>
    <xf numFmtId="0" fontId="10" fillId="0" borderId="34" xfId="0" applyFont="1" applyFill="1" applyBorder="1" applyAlignment="1">
      <alignment vertical="top" wrapText="1"/>
    </xf>
    <xf numFmtId="0" fontId="10" fillId="0" borderId="34" xfId="56" applyFont="1" applyBorder="1" applyAlignment="1">
      <alignment vertical="top"/>
    </xf>
    <xf numFmtId="168" fontId="15" fillId="0" borderId="12" xfId="71" applyNumberFormat="1" applyFont="1" applyFill="1" applyBorder="1" applyAlignment="1">
      <alignment vertical="top" wrapText="1"/>
    </xf>
    <xf numFmtId="168" fontId="23" fillId="28" borderId="12" xfId="71" applyNumberFormat="1" applyFont="1" applyFill="1" applyBorder="1" applyAlignment="1">
      <alignment vertical="top" wrapText="1"/>
    </xf>
    <xf numFmtId="168" fontId="23" fillId="0" borderId="12" xfId="71" applyNumberFormat="1" applyFont="1" applyFill="1" applyBorder="1" applyAlignment="1">
      <alignment vertical="top" wrapText="1"/>
    </xf>
    <xf numFmtId="168" fontId="15" fillId="28" borderId="12" xfId="71" applyNumberFormat="1" applyFont="1" applyFill="1" applyBorder="1" applyAlignment="1">
      <alignment vertical="top" wrapText="1"/>
    </xf>
    <xf numFmtId="168" fontId="19" fillId="0" borderId="48" xfId="71" applyNumberFormat="1" applyFont="1" applyFill="1" applyBorder="1" applyAlignment="1">
      <alignment vertical="top" wrapText="1"/>
    </xf>
    <xf numFmtId="168" fontId="13" fillId="0" borderId="55" xfId="71" applyNumberFormat="1" applyFont="1" applyFill="1" applyBorder="1" applyAlignment="1">
      <alignment vertical="top" wrapText="1"/>
    </xf>
    <xf numFmtId="3" fontId="8" fillId="0" borderId="37" xfId="57" applyNumberFormat="1" applyFont="1" applyBorder="1" applyAlignment="1">
      <alignment vertical="top" wrapText="1"/>
    </xf>
    <xf numFmtId="3" fontId="15" fillId="0" borderId="38" xfId="56" applyNumberFormat="1" applyFont="1" applyBorder="1" applyAlignment="1">
      <alignment vertical="top"/>
    </xf>
    <xf numFmtId="3" fontId="19" fillId="0" borderId="56" xfId="56" applyNumberFormat="1" applyFont="1" applyFill="1" applyBorder="1" applyAlignment="1">
      <alignment vertical="top" wrapText="1"/>
    </xf>
    <xf numFmtId="166" fontId="0" fillId="0" borderId="31" xfId="0" applyNumberFormat="1" applyBorder="1" applyAlignment="1">
      <alignment vertical="top"/>
    </xf>
    <xf numFmtId="166" fontId="40" fillId="25" borderId="30" xfId="0" applyNumberFormat="1" applyFont="1" applyFill="1" applyBorder="1" applyAlignment="1">
      <alignment vertical="top"/>
    </xf>
    <xf numFmtId="166" fontId="40" fillId="0" borderId="33" xfId="0" applyNumberFormat="1" applyFont="1" applyBorder="1" applyAlignment="1">
      <alignment horizontal="center" vertical="center" wrapText="1"/>
    </xf>
    <xf numFmtId="166" fontId="40" fillId="0" borderId="57" xfId="0" applyNumberFormat="1" applyFont="1" applyBorder="1" applyAlignment="1">
      <alignment horizontal="center" vertical="center" wrapText="1"/>
    </xf>
    <xf numFmtId="166" fontId="0" fillId="0" borderId="58" xfId="0" applyNumberFormat="1" applyBorder="1" applyAlignment="1">
      <alignment vertical="top"/>
    </xf>
    <xf numFmtId="166" fontId="40" fillId="25" borderId="59" xfId="0" applyNumberFormat="1" applyFont="1" applyFill="1" applyBorder="1" applyAlignment="1">
      <alignment vertical="top"/>
    </xf>
    <xf numFmtId="0" fontId="40" fillId="0" borderId="22" xfId="0" pivotButton="1" applyFont="1" applyBorder="1" applyAlignment="1">
      <alignment horizontal="center" vertical="center"/>
    </xf>
    <xf numFmtId="0" fontId="0" fillId="0" borderId="22" xfId="0" applyNumberFormat="1" applyBorder="1" applyAlignment="1">
      <alignment vertical="top"/>
    </xf>
    <xf numFmtId="4" fontId="19" fillId="0" borderId="60" xfId="56" applyNumberFormat="1" applyFont="1" applyBorder="1" applyAlignment="1">
      <alignment horizontal="centerContinuous" vertical="center" wrapText="1"/>
    </xf>
    <xf numFmtId="0" fontId="19" fillId="0" borderId="10" xfId="56" applyFont="1" applyBorder="1" applyAlignment="1">
      <alignment horizontal="center" vertical="center" wrapText="1"/>
    </xf>
    <xf numFmtId="3" fontId="19" fillId="0" borderId="50" xfId="56" applyNumberFormat="1" applyFont="1" applyBorder="1" applyAlignment="1">
      <alignment horizontal="center" vertical="top"/>
    </xf>
    <xf numFmtId="168" fontId="19" fillId="30" borderId="60" xfId="71" applyNumberFormat="1" applyFont="1" applyFill="1" applyBorder="1" applyAlignment="1">
      <alignment vertical="top" wrapText="1"/>
    </xf>
    <xf numFmtId="168" fontId="19" fillId="25" borderId="10" xfId="71" applyNumberFormat="1" applyFont="1" applyFill="1" applyBorder="1" applyAlignment="1">
      <alignment vertical="top" wrapText="1"/>
    </xf>
    <xf numFmtId="168" fontId="44" fillId="29" borderId="10" xfId="71" applyNumberFormat="1" applyFont="1" applyFill="1" applyBorder="1" applyAlignment="1">
      <alignment vertical="top" wrapText="1"/>
    </xf>
    <xf numFmtId="168" fontId="8" fillId="0" borderId="10" xfId="71" applyNumberFormat="1" applyFont="1" applyFill="1" applyBorder="1" applyAlignment="1">
      <alignment vertical="top"/>
    </xf>
    <xf numFmtId="166" fontId="8" fillId="24" borderId="10" xfId="71" applyFont="1" applyFill="1" applyBorder="1" applyAlignment="1">
      <alignment vertical="top"/>
    </xf>
    <xf numFmtId="1" fontId="8" fillId="0" borderId="10" xfId="0" applyNumberFormat="1" applyFont="1" applyFill="1" applyBorder="1" applyAlignment="1">
      <alignment vertical="top"/>
    </xf>
    <xf numFmtId="168" fontId="44" fillId="25" borderId="10" xfId="71" applyNumberFormat="1" applyFont="1" applyFill="1" applyBorder="1" applyAlignment="1">
      <alignment vertical="top" wrapText="1"/>
    </xf>
    <xf numFmtId="168" fontId="8" fillId="0" borderId="10" xfId="71" applyNumberFormat="1" applyFont="1" applyFill="1" applyBorder="1" applyAlignment="1">
      <alignment vertical="top" wrapText="1"/>
    </xf>
    <xf numFmtId="168" fontId="8" fillId="24" borderId="10" xfId="71" applyNumberFormat="1" applyFont="1" applyFill="1" applyBorder="1" applyAlignment="1">
      <alignment vertical="top"/>
    </xf>
    <xf numFmtId="168" fontId="45" fillId="0" borderId="10" xfId="71" applyNumberFormat="1" applyFont="1" applyFill="1" applyBorder="1" applyAlignment="1">
      <alignment vertical="top" wrapText="1"/>
    </xf>
    <xf numFmtId="1" fontId="19" fillId="25" borderId="10" xfId="0" applyNumberFormat="1" applyFont="1" applyFill="1" applyBorder="1" applyAlignment="1">
      <alignment vertical="top" wrapText="1"/>
    </xf>
    <xf numFmtId="168" fontId="46" fillId="0" borderId="10" xfId="71" applyNumberFormat="1" applyFont="1" applyFill="1" applyBorder="1" applyAlignment="1">
      <alignment vertical="top" wrapText="1"/>
    </xf>
    <xf numFmtId="1" fontId="21" fillId="28" borderId="10" xfId="0" applyNumberFormat="1" applyFont="1" applyFill="1" applyBorder="1" applyAlignment="1">
      <alignment vertical="top" wrapText="1"/>
    </xf>
    <xf numFmtId="1" fontId="8" fillId="0" borderId="10" xfId="0" applyNumberFormat="1" applyFont="1" applyFill="1" applyBorder="1" applyAlignment="1">
      <alignment vertical="top" wrapText="1"/>
    </xf>
    <xf numFmtId="1" fontId="8" fillId="28" borderId="10" xfId="0" applyNumberFormat="1" applyFont="1" applyFill="1" applyBorder="1" applyAlignment="1">
      <alignment vertical="top"/>
    </xf>
    <xf numFmtId="0" fontId="8" fillId="28" borderId="10" xfId="56" applyFont="1" applyFill="1" applyBorder="1" applyAlignment="1">
      <alignment vertical="top" wrapText="1"/>
    </xf>
    <xf numFmtId="1" fontId="8" fillId="29" borderId="10" xfId="0" applyNumberFormat="1" applyFont="1" applyFill="1" applyBorder="1" applyAlignment="1">
      <alignment vertical="top" wrapText="1"/>
    </xf>
    <xf numFmtId="1" fontId="8" fillId="28" borderId="10" xfId="0" applyNumberFormat="1" applyFont="1" applyFill="1" applyBorder="1" applyAlignment="1">
      <alignment vertical="top" wrapText="1"/>
    </xf>
    <xf numFmtId="1" fontId="21" fillId="28" borderId="10" xfId="0" applyNumberFormat="1" applyFont="1" applyFill="1" applyBorder="1" applyAlignment="1">
      <alignment vertical="top"/>
    </xf>
    <xf numFmtId="168" fontId="44" fillId="0" borderId="10" xfId="71" applyNumberFormat="1" applyFont="1" applyFill="1" applyBorder="1" applyAlignment="1">
      <alignment vertical="top" wrapText="1"/>
    </xf>
    <xf numFmtId="168" fontId="47" fillId="0" borderId="10" xfId="71" applyNumberFormat="1" applyFont="1" applyFill="1" applyBorder="1" applyAlignment="1">
      <alignment vertical="top" wrapText="1"/>
    </xf>
    <xf numFmtId="166" fontId="8" fillId="0" borderId="10" xfId="71" applyFont="1" applyFill="1" applyBorder="1" applyAlignment="1">
      <alignment vertical="top" wrapText="1"/>
    </xf>
    <xf numFmtId="3" fontId="8" fillId="28" borderId="10" xfId="58" applyNumberFormat="1" applyFont="1" applyFill="1" applyBorder="1" applyAlignment="1">
      <alignment vertical="top" wrapText="1"/>
    </xf>
    <xf numFmtId="168" fontId="19" fillId="0" borderId="61" xfId="71" applyNumberFormat="1" applyFont="1" applyFill="1" applyBorder="1" applyAlignment="1">
      <alignment vertical="top" wrapText="1"/>
    </xf>
    <xf numFmtId="168" fontId="8" fillId="28" borderId="10" xfId="71" applyNumberFormat="1" applyFont="1" applyFill="1" applyBorder="1" applyAlignment="1">
      <alignment vertical="top" wrapText="1"/>
    </xf>
    <xf numFmtId="3" fontId="8" fillId="0" borderId="50" xfId="57" applyNumberFormat="1" applyFont="1" applyBorder="1" applyAlignment="1">
      <alignment vertical="top" wrapText="1"/>
    </xf>
    <xf numFmtId="3" fontId="19" fillId="0" borderId="62" xfId="56" applyNumberFormat="1" applyFont="1" applyFill="1" applyBorder="1" applyAlignment="1">
      <alignment vertical="top" wrapText="1"/>
    </xf>
    <xf numFmtId="166" fontId="15" fillId="30" borderId="53" xfId="71" applyFont="1" applyFill="1" applyBorder="1" applyAlignment="1">
      <alignment vertical="top"/>
    </xf>
    <xf numFmtId="0" fontId="0" fillId="0" borderId="22" xfId="0" applyBorder="1" applyAlignment="1">
      <alignment vertical="top" wrapText="1"/>
    </xf>
    <xf numFmtId="0" fontId="0" fillId="0" borderId="63" xfId="0" applyBorder="1" applyAlignment="1">
      <alignment vertical="top" wrapText="1"/>
    </xf>
    <xf numFmtId="166" fontId="0" fillId="0" borderId="64" xfId="0" applyNumberFormat="1" applyBorder="1" applyAlignment="1">
      <alignment vertical="top"/>
    </xf>
    <xf numFmtId="0" fontId="40" fillId="0" borderId="22" xfId="0" applyFont="1" applyBorder="1" applyAlignment="1">
      <alignment horizontal="center" vertical="center"/>
    </xf>
    <xf numFmtId="166" fontId="40" fillId="0" borderId="64" xfId="0" applyNumberFormat="1" applyFont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7" fillId="0" borderId="63" xfId="0" applyFont="1" applyBorder="1" applyAlignment="1">
      <alignment vertical="top" wrapText="1"/>
    </xf>
    <xf numFmtId="166" fontId="40" fillId="0" borderId="64" xfId="0" applyNumberFormat="1" applyFont="1" applyBorder="1" applyAlignment="1">
      <alignment horizontal="center" vertical="center"/>
    </xf>
    <xf numFmtId="0" fontId="0" fillId="0" borderId="65" xfId="0" applyBorder="1" applyAlignment="1">
      <alignment vertical="top"/>
    </xf>
    <xf numFmtId="0" fontId="0" fillId="0" borderId="66" xfId="0" applyBorder="1" applyAlignment="1">
      <alignment vertical="top"/>
    </xf>
    <xf numFmtId="166" fontId="40" fillId="0" borderId="67" xfId="0" applyNumberFormat="1" applyFont="1" applyBorder="1" applyAlignment="1">
      <alignment horizontal="center" vertical="center" wrapText="1"/>
    </xf>
    <xf numFmtId="166" fontId="40" fillId="0" borderId="68" xfId="0" applyNumberFormat="1" applyFont="1" applyBorder="1" applyAlignment="1">
      <alignment horizontal="center" vertical="center" wrapText="1"/>
    </xf>
    <xf numFmtId="166" fontId="0" fillId="0" borderId="67" xfId="0" applyNumberFormat="1" applyBorder="1" applyAlignment="1">
      <alignment vertical="top"/>
    </xf>
    <xf numFmtId="166" fontId="0" fillId="0" borderId="68" xfId="0" applyNumberFormat="1" applyBorder="1" applyAlignment="1">
      <alignment vertical="top"/>
    </xf>
    <xf numFmtId="166" fontId="0" fillId="0" borderId="69" xfId="0" applyNumberFormat="1" applyBorder="1" applyAlignment="1">
      <alignment vertical="top"/>
    </xf>
    <xf numFmtId="166" fontId="0" fillId="0" borderId="70" xfId="0" applyNumberFormat="1" applyBorder="1" applyAlignment="1">
      <alignment vertical="top"/>
    </xf>
    <xf numFmtId="0" fontId="15" fillId="0" borderId="71" xfId="0" applyFont="1" applyFill="1" applyBorder="1" applyAlignment="1">
      <alignment vertical="top" wrapText="1"/>
    </xf>
    <xf numFmtId="0" fontId="6" fillId="0" borderId="0" xfId="53"/>
    <xf numFmtId="0" fontId="48" fillId="0" borderId="0" xfId="59"/>
    <xf numFmtId="0" fontId="6" fillId="0" borderId="0" xfId="53" applyAlignment="1">
      <alignment wrapText="1"/>
    </xf>
    <xf numFmtId="0" fontId="40" fillId="0" borderId="50" xfId="53" pivotButton="1" applyFont="1" applyBorder="1" applyAlignment="1">
      <alignment horizontal="center" vertical="center" wrapText="1"/>
    </xf>
    <xf numFmtId="0" fontId="40" fillId="0" borderId="72" xfId="53" pivotButton="1" applyFont="1" applyBorder="1" applyAlignment="1">
      <alignment horizontal="center" vertical="center"/>
    </xf>
    <xf numFmtId="0" fontId="6" fillId="0" borderId="73" xfId="53" applyBorder="1" applyAlignment="1">
      <alignment vertical="top" wrapText="1"/>
    </xf>
    <xf numFmtId="0" fontId="6" fillId="0" borderId="22" xfId="53" applyBorder="1" applyAlignment="1">
      <alignment vertical="top"/>
    </xf>
    <xf numFmtId="0" fontId="6" fillId="0" borderId="22" xfId="53" applyNumberFormat="1" applyBorder="1" applyAlignment="1">
      <alignment vertical="top"/>
    </xf>
    <xf numFmtId="168" fontId="6" fillId="0" borderId="13" xfId="53" applyNumberFormat="1" applyBorder="1" applyAlignment="1">
      <alignment vertical="top"/>
    </xf>
    <xf numFmtId="0" fontId="6" fillId="0" borderId="74" xfId="53" applyBorder="1" applyAlignment="1">
      <alignment vertical="top" wrapText="1"/>
    </xf>
    <xf numFmtId="0" fontId="6" fillId="0" borderId="73" xfId="53" applyFill="1" applyBorder="1" applyAlignment="1">
      <alignment vertical="top" wrapText="1"/>
    </xf>
    <xf numFmtId="0" fontId="48" fillId="0" borderId="0" xfId="59" applyAlignment="1">
      <alignment wrapText="1"/>
    </xf>
    <xf numFmtId="0" fontId="30" fillId="0" borderId="75" xfId="57" applyFont="1" applyBorder="1" applyAlignment="1">
      <alignment vertical="top" wrapText="1"/>
    </xf>
    <xf numFmtId="0" fontId="20" fillId="0" borderId="76" xfId="56" applyFont="1" applyFill="1" applyBorder="1" applyAlignment="1">
      <alignment vertical="top" wrapText="1"/>
    </xf>
    <xf numFmtId="0" fontId="48" fillId="0" borderId="0" xfId="59" applyFont="1"/>
    <xf numFmtId="0" fontId="6" fillId="0" borderId="13" xfId="53" applyBorder="1" applyAlignment="1">
      <alignment vertical="top"/>
    </xf>
    <xf numFmtId="0" fontId="6" fillId="30" borderId="13" xfId="53" applyFont="1" applyFill="1" applyBorder="1" applyAlignment="1">
      <alignment vertical="top" wrapText="1"/>
    </xf>
    <xf numFmtId="168" fontId="6" fillId="0" borderId="0" xfId="53" applyNumberFormat="1" applyBorder="1" applyAlignment="1">
      <alignment vertical="top"/>
    </xf>
    <xf numFmtId="0" fontId="6" fillId="0" borderId="77" xfId="53" applyNumberFormat="1" applyBorder="1" applyAlignment="1">
      <alignment vertical="top"/>
    </xf>
    <xf numFmtId="0" fontId="40" fillId="0" borderId="13" xfId="53" applyFont="1" applyBorder="1" applyAlignment="1">
      <alignment horizontal="center" vertical="center"/>
    </xf>
    <xf numFmtId="168" fontId="40" fillId="0" borderId="13" xfId="53" applyNumberFormat="1" applyFont="1" applyBorder="1" applyAlignment="1">
      <alignment horizontal="center" vertical="center" wrapText="1"/>
    </xf>
    <xf numFmtId="168" fontId="40" fillId="0" borderId="13" xfId="53" applyNumberFormat="1" applyFont="1" applyBorder="1" applyAlignment="1">
      <alignment horizontal="center" vertical="center"/>
    </xf>
    <xf numFmtId="168" fontId="40" fillId="0" borderId="10" xfId="53" applyNumberFormat="1" applyFont="1" applyBorder="1" applyAlignment="1">
      <alignment horizontal="center" vertical="center"/>
    </xf>
    <xf numFmtId="168" fontId="48" fillId="0" borderId="0" xfId="59" applyNumberFormat="1"/>
    <xf numFmtId="14" fontId="66" fillId="30" borderId="0" xfId="59" applyNumberFormat="1" applyFont="1" applyFill="1" applyAlignment="1">
      <alignment vertical="top"/>
    </xf>
    <xf numFmtId="0" fontId="66" fillId="30" borderId="0" xfId="59" applyFont="1" applyFill="1" applyAlignment="1">
      <alignment vertical="top"/>
    </xf>
    <xf numFmtId="0" fontId="6" fillId="0" borderId="0" xfId="53" applyBorder="1" applyAlignment="1">
      <alignment vertical="top"/>
    </xf>
    <xf numFmtId="0" fontId="6" fillId="0" borderId="0" xfId="53" applyNumberFormat="1" applyBorder="1" applyAlignment="1">
      <alignment vertical="top"/>
    </xf>
    <xf numFmtId="168" fontId="6" fillId="0" borderId="37" xfId="53" applyNumberFormat="1" applyBorder="1" applyAlignment="1">
      <alignment vertical="top"/>
    </xf>
    <xf numFmtId="0" fontId="6" fillId="0" borderId="13" xfId="53" applyBorder="1" applyAlignment="1">
      <alignment vertical="top" wrapText="1"/>
    </xf>
    <xf numFmtId="0" fontId="6" fillId="0" borderId="13" xfId="53" applyNumberFormat="1" applyBorder="1" applyAlignment="1">
      <alignment vertical="top"/>
    </xf>
    <xf numFmtId="0" fontId="6" fillId="0" borderId="0" xfId="53" applyBorder="1" applyAlignment="1">
      <alignment vertical="top" wrapText="1"/>
    </xf>
    <xf numFmtId="168" fontId="6" fillId="0" borderId="44" xfId="53" applyNumberFormat="1" applyBorder="1" applyAlignment="1">
      <alignment vertical="top"/>
    </xf>
    <xf numFmtId="168" fontId="48" fillId="0" borderId="0" xfId="59" applyNumberFormat="1" applyBorder="1"/>
    <xf numFmtId="168" fontId="6" fillId="0" borderId="47" xfId="53" applyNumberFormat="1" applyBorder="1" applyAlignment="1">
      <alignment vertical="top"/>
    </xf>
    <xf numFmtId="168" fontId="67" fillId="0" borderId="0" xfId="59" applyNumberFormat="1" applyFont="1"/>
    <xf numFmtId="168" fontId="67" fillId="0" borderId="47" xfId="59" applyNumberFormat="1" applyFont="1" applyBorder="1"/>
    <xf numFmtId="168" fontId="6" fillId="25" borderId="48" xfId="53" applyNumberFormat="1" applyFill="1" applyBorder="1" applyAlignment="1">
      <alignment vertical="top"/>
    </xf>
    <xf numFmtId="168" fontId="6" fillId="25" borderId="13" xfId="53" applyNumberFormat="1" applyFill="1" applyBorder="1" applyAlignment="1">
      <alignment vertical="top"/>
    </xf>
    <xf numFmtId="168" fontId="6" fillId="25" borderId="37" xfId="53" applyNumberFormat="1" applyFill="1" applyBorder="1" applyAlignment="1">
      <alignment vertical="top"/>
    </xf>
    <xf numFmtId="168" fontId="6" fillId="25" borderId="0" xfId="53" applyNumberFormat="1" applyFill="1" applyBorder="1" applyAlignment="1">
      <alignment vertical="top"/>
    </xf>
    <xf numFmtId="168" fontId="6" fillId="25" borderId="64" xfId="53" applyNumberFormat="1" applyFill="1" applyBorder="1" applyAlignment="1">
      <alignment vertical="top"/>
    </xf>
    <xf numFmtId="168" fontId="67" fillId="0" borderId="0" xfId="71" applyNumberFormat="1" applyFont="1"/>
    <xf numFmtId="0" fontId="38" fillId="0" borderId="0" xfId="53" applyFont="1" applyBorder="1" applyAlignment="1">
      <alignment vertical="top" wrapText="1"/>
    </xf>
    <xf numFmtId="0" fontId="6" fillId="0" borderId="13" xfId="53" applyFont="1" applyBorder="1" applyAlignment="1">
      <alignment vertical="top"/>
    </xf>
    <xf numFmtId="49" fontId="6" fillId="0" borderId="13" xfId="53" quotePrefix="1" applyNumberFormat="1" applyFont="1" applyBorder="1" applyAlignment="1">
      <alignment vertical="top"/>
    </xf>
    <xf numFmtId="168" fontId="6" fillId="25" borderId="13" xfId="53" applyNumberFormat="1" applyFont="1" applyFill="1" applyBorder="1" applyAlignment="1">
      <alignment vertical="top"/>
    </xf>
    <xf numFmtId="168" fontId="6" fillId="25" borderId="64" xfId="53" applyNumberFormat="1" applyFont="1" applyFill="1" applyBorder="1" applyAlignment="1">
      <alignment vertical="top"/>
    </xf>
    <xf numFmtId="168" fontId="6" fillId="0" borderId="37" xfId="53" applyNumberFormat="1" applyFont="1" applyBorder="1" applyAlignment="1">
      <alignment vertical="top"/>
    </xf>
    <xf numFmtId="168" fontId="6" fillId="25" borderId="78" xfId="53" applyNumberFormat="1" applyFont="1" applyFill="1" applyBorder="1" applyAlignment="1">
      <alignment vertical="top"/>
    </xf>
    <xf numFmtId="168" fontId="6" fillId="0" borderId="13" xfId="53" applyNumberFormat="1" applyFont="1" applyBorder="1" applyAlignment="1">
      <alignment vertical="top"/>
    </xf>
    <xf numFmtId="0" fontId="0" fillId="0" borderId="28" xfId="0" pivotButton="1" applyBorder="1" applyAlignment="1">
      <alignment vertical="top"/>
    </xf>
    <xf numFmtId="0" fontId="40" fillId="25" borderId="25" xfId="0" applyNumberFormat="1" applyFont="1" applyFill="1" applyBorder="1" applyAlignment="1">
      <alignment vertical="top"/>
    </xf>
    <xf numFmtId="166" fontId="40" fillId="25" borderId="79" xfId="0" applyNumberFormat="1" applyFont="1" applyFill="1" applyBorder="1" applyAlignment="1">
      <alignment vertical="top"/>
    </xf>
    <xf numFmtId="168" fontId="40" fillId="0" borderId="31" xfId="0" applyNumberFormat="1" applyFont="1" applyBorder="1" applyAlignment="1">
      <alignment horizontal="center" vertical="center"/>
    </xf>
    <xf numFmtId="168" fontId="0" fillId="0" borderId="31" xfId="0" applyNumberFormat="1" applyBorder="1" applyAlignment="1">
      <alignment vertical="top"/>
    </xf>
    <xf numFmtId="168" fontId="40" fillId="25" borderId="30" xfId="0" applyNumberFormat="1" applyFont="1" applyFill="1" applyBorder="1" applyAlignment="1">
      <alignment vertical="top"/>
    </xf>
    <xf numFmtId="49" fontId="15" fillId="0" borderId="0" xfId="56" applyNumberFormat="1" applyFont="1" applyAlignment="1">
      <alignment horizontal="left" wrapText="1"/>
    </xf>
    <xf numFmtId="169" fontId="15" fillId="0" borderId="0" xfId="56" applyNumberFormat="1" applyFont="1"/>
    <xf numFmtId="169" fontId="12" fillId="0" borderId="0" xfId="56" applyNumberFormat="1" applyFont="1" applyFill="1" applyBorder="1"/>
    <xf numFmtId="169" fontId="14" fillId="0" borderId="0" xfId="56" applyNumberFormat="1" applyFont="1"/>
    <xf numFmtId="169" fontId="15" fillId="0" borderId="0" xfId="56" applyNumberFormat="1" applyFont="1" applyAlignment="1">
      <alignment vertical="center" wrapText="1"/>
    </xf>
    <xf numFmtId="169" fontId="12" fillId="0" borderId="0" xfId="56" applyNumberFormat="1" applyFont="1" applyAlignment="1">
      <alignment horizontal="center" vertical="top"/>
    </xf>
    <xf numFmtId="169" fontId="12" fillId="0" borderId="0" xfId="56" applyNumberFormat="1" applyFont="1" applyAlignment="1">
      <alignment vertical="top"/>
    </xf>
    <xf numFmtId="169" fontId="15" fillId="0" borderId="0" xfId="56" applyNumberFormat="1" applyFont="1" applyAlignment="1">
      <alignment vertical="top"/>
    </xf>
    <xf numFmtId="169" fontId="15" fillId="24" borderId="0" xfId="56" applyNumberFormat="1" applyFont="1" applyFill="1" applyAlignment="1">
      <alignment vertical="top" wrapText="1"/>
    </xf>
    <xf numFmtId="169" fontId="27" fillId="24" borderId="0" xfId="56" applyNumberFormat="1" applyFont="1" applyFill="1" applyAlignment="1">
      <alignment vertical="top" wrapText="1"/>
    </xf>
    <xf numFmtId="169" fontId="32" fillId="0" borderId="0" xfId="56" applyNumberFormat="1" applyFont="1" applyAlignment="1">
      <alignment vertical="top" wrapText="1"/>
    </xf>
    <xf numFmtId="169" fontId="26" fillId="0" borderId="0" xfId="56" applyNumberFormat="1" applyFont="1" applyAlignment="1">
      <alignment vertical="top" wrapText="1"/>
    </xf>
    <xf numFmtId="169" fontId="27" fillId="0" borderId="0" xfId="56" applyNumberFormat="1" applyFont="1" applyAlignment="1">
      <alignment vertical="top" wrapText="1"/>
    </xf>
    <xf numFmtId="169" fontId="27" fillId="0" borderId="0" xfId="56" applyNumberFormat="1" applyFont="1" applyFill="1" applyAlignment="1">
      <alignment vertical="top" wrapText="1"/>
    </xf>
    <xf numFmtId="169" fontId="15" fillId="0" borderId="0" xfId="56" applyNumberFormat="1" applyFont="1" applyAlignment="1">
      <alignment vertical="top" wrapText="1"/>
    </xf>
    <xf numFmtId="169" fontId="12" fillId="0" borderId="0" xfId="56" applyNumberFormat="1" applyFont="1" applyFill="1" applyAlignment="1">
      <alignment vertical="top" wrapText="1"/>
    </xf>
    <xf numFmtId="169" fontId="15" fillId="0" borderId="0" xfId="56" applyNumberFormat="1" applyFont="1" applyFill="1" applyAlignment="1">
      <alignment vertical="top" wrapText="1"/>
    </xf>
    <xf numFmtId="169" fontId="23" fillId="0" borderId="0" xfId="56" applyNumberFormat="1" applyFont="1" applyFill="1" applyAlignment="1">
      <alignment vertical="top"/>
    </xf>
    <xf numFmtId="169" fontId="15" fillId="0" borderId="0" xfId="56" applyNumberFormat="1" applyFont="1" applyFill="1" applyAlignment="1">
      <alignment vertical="top"/>
    </xf>
    <xf numFmtId="0" fontId="15" fillId="29" borderId="39" xfId="57" applyFont="1" applyFill="1" applyBorder="1" applyAlignment="1">
      <alignment vertical="top"/>
    </xf>
    <xf numFmtId="0" fontId="16" fillId="25" borderId="39" xfId="0" applyFont="1" applyFill="1" applyBorder="1" applyAlignment="1">
      <alignment vertical="top" wrapText="1"/>
    </xf>
    <xf numFmtId="0" fontId="24" fillId="0" borderId="39" xfId="0" applyFont="1" applyFill="1" applyBorder="1" applyAlignment="1">
      <alignment vertical="top" wrapText="1"/>
    </xf>
    <xf numFmtId="49" fontId="14" fillId="0" borderId="0" xfId="56" applyNumberFormat="1" applyFont="1" applyAlignment="1">
      <alignment horizontal="left"/>
    </xf>
    <xf numFmtId="0" fontId="14" fillId="0" borderId="0" xfId="57" applyFont="1" applyBorder="1"/>
    <xf numFmtId="3" fontId="15" fillId="0" borderId="13" xfId="56" applyNumberFormat="1" applyFont="1" applyFill="1" applyBorder="1" applyAlignment="1">
      <alignment vertical="top"/>
    </xf>
    <xf numFmtId="3" fontId="15" fillId="0" borderId="10" xfId="56" applyNumberFormat="1" applyFont="1" applyFill="1" applyBorder="1" applyAlignment="1">
      <alignment vertical="top"/>
    </xf>
    <xf numFmtId="3" fontId="15" fillId="0" borderId="13" xfId="57" applyNumberFormat="1" applyFont="1" applyFill="1" applyBorder="1" applyAlignment="1">
      <alignment vertical="top" wrapText="1"/>
    </xf>
    <xf numFmtId="3" fontId="15" fillId="0" borderId="10" xfId="57" applyNumberFormat="1" applyFont="1" applyFill="1" applyBorder="1" applyAlignment="1">
      <alignment vertical="top" wrapText="1"/>
    </xf>
    <xf numFmtId="3" fontId="15" fillId="0" borderId="36" xfId="57" applyNumberFormat="1" applyFont="1" applyFill="1" applyBorder="1" applyAlignment="1">
      <alignment vertical="top" wrapText="1"/>
    </xf>
    <xf numFmtId="3" fontId="15" fillId="0" borderId="80" xfId="57" applyNumberFormat="1" applyFont="1" applyFill="1" applyBorder="1" applyAlignment="1">
      <alignment vertical="top" wrapText="1"/>
    </xf>
    <xf numFmtId="0" fontId="13" fillId="0" borderId="81" xfId="0" applyFont="1" applyFill="1" applyBorder="1" applyAlignment="1">
      <alignment vertical="top"/>
    </xf>
    <xf numFmtId="49" fontId="14" fillId="0" borderId="42" xfId="56" applyNumberFormat="1" applyFont="1" applyFill="1" applyBorder="1" applyAlignment="1">
      <alignment vertical="top" wrapText="1"/>
    </xf>
    <xf numFmtId="0" fontId="10" fillId="0" borderId="27" xfId="56" applyFont="1" applyFill="1" applyBorder="1" applyAlignment="1">
      <alignment vertical="top" wrapText="1"/>
    </xf>
    <xf numFmtId="0" fontId="14" fillId="0" borderId="27" xfId="0" applyFont="1" applyFill="1" applyBorder="1" applyAlignment="1">
      <alignment vertical="top" wrapText="1"/>
    </xf>
    <xf numFmtId="0" fontId="14" fillId="0" borderId="27" xfId="56" applyFont="1" applyFill="1" applyBorder="1" applyAlignment="1">
      <alignment vertical="top" wrapText="1"/>
    </xf>
    <xf numFmtId="166" fontId="14" fillId="0" borderId="49" xfId="71" applyFont="1" applyFill="1" applyBorder="1" applyAlignment="1">
      <alignment vertical="top" wrapText="1"/>
    </xf>
    <xf numFmtId="0" fontId="14" fillId="0" borderId="27" xfId="0" applyFont="1" applyFill="1" applyBorder="1" applyAlignment="1">
      <alignment horizontal="left" vertical="top" wrapText="1" indent="1"/>
    </xf>
    <xf numFmtId="0" fontId="14" fillId="0" borderId="27" xfId="0" applyFont="1" applyFill="1" applyBorder="1" applyAlignment="1">
      <alignment horizontal="left" vertical="top" wrapText="1" indent="3"/>
    </xf>
    <xf numFmtId="0" fontId="13" fillId="0" borderId="27" xfId="0" applyFont="1" applyFill="1" applyBorder="1" applyAlignment="1">
      <alignment vertical="top" wrapText="1"/>
    </xf>
    <xf numFmtId="49" fontId="14" fillId="28" borderId="42" xfId="56" applyNumberFormat="1" applyFont="1" applyFill="1" applyBorder="1" applyAlignment="1">
      <alignment vertical="top" wrapText="1"/>
    </xf>
    <xf numFmtId="0" fontId="10" fillId="28" borderId="27" xfId="56" applyFont="1" applyFill="1" applyBorder="1" applyAlignment="1">
      <alignment vertical="top" wrapText="1"/>
    </xf>
    <xf numFmtId="0" fontId="14" fillId="28" borderId="27" xfId="0" applyFont="1" applyFill="1" applyBorder="1" applyAlignment="1">
      <alignment horizontal="left" vertical="top" wrapText="1" indent="1"/>
    </xf>
    <xf numFmtId="0" fontId="14" fillId="28" borderId="27" xfId="56" applyFont="1" applyFill="1" applyBorder="1" applyAlignment="1">
      <alignment vertical="top" wrapText="1"/>
    </xf>
    <xf numFmtId="166" fontId="14" fillId="28" borderId="49" xfId="71" applyFont="1" applyFill="1" applyBorder="1" applyAlignment="1">
      <alignment vertical="top" wrapText="1"/>
    </xf>
    <xf numFmtId="0" fontId="14" fillId="28" borderId="27" xfId="0" applyFont="1" applyFill="1" applyBorder="1" applyAlignment="1">
      <alignment horizontal="left" vertical="top" wrapText="1" indent="3"/>
    </xf>
    <xf numFmtId="49" fontId="30" fillId="0" borderId="43" xfId="56" applyNumberFormat="1" applyFont="1" applyBorder="1" applyAlignment="1">
      <alignment vertical="top"/>
    </xf>
    <xf numFmtId="0" fontId="30" fillId="0" borderId="47" xfId="57" applyFont="1" applyBorder="1" applyAlignment="1">
      <alignment vertical="top" wrapText="1"/>
    </xf>
    <xf numFmtId="0" fontId="30" fillId="0" borderId="47" xfId="57" applyFont="1" applyBorder="1" applyAlignment="1">
      <alignment vertical="top"/>
    </xf>
    <xf numFmtId="4" fontId="30" fillId="0" borderId="52" xfId="57" applyNumberFormat="1" applyFont="1" applyBorder="1" applyAlignment="1">
      <alignment vertical="top" wrapText="1"/>
    </xf>
    <xf numFmtId="49" fontId="13" fillId="0" borderId="82" xfId="56" applyNumberFormat="1" applyFont="1" applyFill="1" applyBorder="1" applyAlignment="1">
      <alignment vertical="top"/>
    </xf>
    <xf numFmtId="0" fontId="20" fillId="0" borderId="83" xfId="56" applyFont="1" applyFill="1" applyBorder="1" applyAlignment="1">
      <alignment vertical="top" wrapText="1"/>
    </xf>
    <xf numFmtId="0" fontId="13" fillId="0" borderId="83" xfId="0" applyFont="1" applyFill="1" applyBorder="1" applyAlignment="1">
      <alignment vertical="top"/>
    </xf>
    <xf numFmtId="0" fontId="13" fillId="0" borderId="83" xfId="56" applyFont="1" applyFill="1" applyBorder="1" applyAlignment="1">
      <alignment vertical="top" wrapText="1"/>
    </xf>
    <xf numFmtId="4" fontId="13" fillId="0" borderId="84" xfId="56" applyNumberFormat="1" applyFont="1" applyFill="1" applyBorder="1" applyAlignment="1">
      <alignment vertical="top" wrapText="1"/>
    </xf>
    <xf numFmtId="49" fontId="15" fillId="0" borderId="42" xfId="56" applyNumberFormat="1" applyFont="1" applyFill="1" applyBorder="1" applyAlignment="1">
      <alignment vertical="top"/>
    </xf>
    <xf numFmtId="0" fontId="10" fillId="0" borderId="27" xfId="57" applyFont="1" applyFill="1" applyBorder="1" applyAlignment="1">
      <alignment vertical="top" wrapText="1"/>
    </xf>
    <xf numFmtId="0" fontId="15" fillId="0" borderId="27" xfId="57" applyFont="1" applyFill="1" applyBorder="1" applyAlignment="1">
      <alignment horizontal="left" vertical="top" wrapText="1" indent="1"/>
    </xf>
    <xf numFmtId="0" fontId="15" fillId="0" borderId="27" xfId="57" applyFont="1" applyFill="1" applyBorder="1" applyAlignment="1">
      <alignment vertical="top" wrapText="1"/>
    </xf>
    <xf numFmtId="4" fontId="15" fillId="0" borderId="49" xfId="57" applyNumberFormat="1" applyFont="1" applyFill="1" applyBorder="1" applyAlignment="1">
      <alignment vertical="top" wrapText="1"/>
    </xf>
    <xf numFmtId="0" fontId="15" fillId="0" borderId="27" xfId="57" applyFont="1" applyFill="1" applyBorder="1" applyAlignment="1">
      <alignment horizontal="left" vertical="top" wrapText="1" indent="3"/>
    </xf>
    <xf numFmtId="49" fontId="15" fillId="0" borderId="85" xfId="56" applyNumberFormat="1" applyFont="1" applyFill="1" applyBorder="1" applyAlignment="1">
      <alignment vertical="top"/>
    </xf>
    <xf numFmtId="0" fontId="10" fillId="0" borderId="86" xfId="57" applyFont="1" applyFill="1" applyBorder="1" applyAlignment="1">
      <alignment vertical="top" wrapText="1"/>
    </xf>
    <xf numFmtId="0" fontId="15" fillId="0" borderId="86" xfId="57" applyFont="1" applyFill="1" applyBorder="1" applyAlignment="1">
      <alignment vertical="top" wrapText="1"/>
    </xf>
    <xf numFmtId="0" fontId="15" fillId="0" borderId="86" xfId="57" applyFont="1" applyFill="1" applyBorder="1" applyAlignment="1">
      <alignment horizontal="left" vertical="top" wrapText="1" indent="3"/>
    </xf>
    <xf numFmtId="4" fontId="15" fillId="0" borderId="87" xfId="57" applyNumberFormat="1" applyFont="1" applyFill="1" applyBorder="1" applyAlignment="1">
      <alignment vertical="top" wrapText="1"/>
    </xf>
    <xf numFmtId="0" fontId="15" fillId="0" borderId="27" xfId="57" applyFont="1" applyFill="1" applyBorder="1" applyAlignment="1">
      <alignment horizontal="left" vertical="top" wrapText="1" indent="6"/>
    </xf>
    <xf numFmtId="0" fontId="15" fillId="0" borderId="86" xfId="57" applyFont="1" applyFill="1" applyBorder="1" applyAlignment="1">
      <alignment horizontal="left" vertical="top" wrapText="1" indent="6"/>
    </xf>
    <xf numFmtId="0" fontId="20" fillId="0" borderId="88" xfId="56" applyFont="1" applyFill="1" applyBorder="1" applyAlignment="1">
      <alignment vertical="top" wrapText="1"/>
    </xf>
    <xf numFmtId="49" fontId="13" fillId="0" borderId="89" xfId="56" applyNumberFormat="1" applyFont="1" applyFill="1" applyBorder="1" applyAlignment="1">
      <alignment vertical="top"/>
    </xf>
    <xf numFmtId="0" fontId="20" fillId="0" borderId="81" xfId="56" applyFont="1" applyFill="1" applyBorder="1" applyAlignment="1">
      <alignment vertical="top" wrapText="1"/>
    </xf>
    <xf numFmtId="0" fontId="13" fillId="0" borderId="81" xfId="56" applyFont="1" applyFill="1" applyBorder="1" applyAlignment="1">
      <alignment vertical="top" wrapText="1"/>
    </xf>
    <xf numFmtId="4" fontId="13" fillId="0" borderId="90" xfId="56" applyNumberFormat="1" applyFont="1" applyFill="1" applyBorder="1" applyAlignment="1">
      <alignment vertical="top" wrapText="1"/>
    </xf>
    <xf numFmtId="3" fontId="19" fillId="0" borderId="15" xfId="56" applyNumberFormat="1" applyFont="1" applyFill="1" applyBorder="1" applyAlignment="1">
      <alignment vertical="top" wrapText="1"/>
    </xf>
    <xf numFmtId="3" fontId="19" fillId="0" borderId="60" xfId="56" applyNumberFormat="1" applyFont="1" applyFill="1" applyBorder="1" applyAlignment="1">
      <alignment vertical="top" wrapText="1"/>
    </xf>
    <xf numFmtId="49" fontId="13" fillId="0" borderId="85" xfId="56" applyNumberFormat="1" applyFont="1" applyFill="1" applyBorder="1" applyAlignment="1">
      <alignment vertical="top"/>
    </xf>
    <xf numFmtId="0" fontId="20" fillId="0" borderId="86" xfId="56" applyFont="1" applyFill="1" applyBorder="1" applyAlignment="1">
      <alignment vertical="top" wrapText="1"/>
    </xf>
    <xf numFmtId="0" fontId="13" fillId="0" borderId="86" xfId="0" applyFont="1" applyFill="1" applyBorder="1" applyAlignment="1">
      <alignment vertical="center"/>
    </xf>
    <xf numFmtId="167" fontId="13" fillId="0" borderId="86" xfId="56" applyNumberFormat="1" applyFont="1" applyFill="1" applyBorder="1" applyAlignment="1">
      <alignment vertical="center" wrapText="1"/>
    </xf>
    <xf numFmtId="0" fontId="13" fillId="0" borderId="86" xfId="56" applyFont="1" applyFill="1" applyBorder="1" applyAlignment="1">
      <alignment vertical="center" wrapText="1"/>
    </xf>
    <xf numFmtId="4" fontId="13" fillId="0" borderId="87" xfId="56" applyNumberFormat="1" applyFont="1" applyFill="1" applyBorder="1" applyAlignment="1">
      <alignment vertical="center" wrapText="1"/>
    </xf>
    <xf numFmtId="3" fontId="19" fillId="0" borderId="36" xfId="56" applyNumberFormat="1" applyFont="1" applyFill="1" applyBorder="1" applyAlignment="1">
      <alignment vertical="center" wrapText="1"/>
    </xf>
    <xf numFmtId="3" fontId="19" fillId="0" borderId="80" xfId="56" applyNumberFormat="1" applyFont="1" applyFill="1" applyBorder="1" applyAlignment="1">
      <alignment vertical="center" wrapText="1"/>
    </xf>
    <xf numFmtId="0" fontId="13" fillId="0" borderId="40" xfId="0" applyFont="1" applyFill="1" applyBorder="1" applyAlignment="1">
      <alignment vertical="top"/>
    </xf>
    <xf numFmtId="0" fontId="13" fillId="0" borderId="44" xfId="0" applyFont="1" applyFill="1" applyBorder="1" applyAlignment="1">
      <alignment vertical="top"/>
    </xf>
    <xf numFmtId="166" fontId="13" fillId="0" borderId="91" xfId="71" applyFont="1" applyFill="1" applyBorder="1" applyAlignment="1">
      <alignment vertical="top"/>
    </xf>
    <xf numFmtId="49" fontId="20" fillId="25" borderId="35" xfId="56" applyNumberFormat="1" applyFont="1" applyFill="1" applyBorder="1" applyAlignment="1">
      <alignment vertical="top" wrapText="1"/>
    </xf>
    <xf numFmtId="0" fontId="20" fillId="25" borderId="36" xfId="56" applyFont="1" applyFill="1" applyBorder="1" applyAlignment="1">
      <alignment vertical="top" wrapText="1"/>
    </xf>
    <xf numFmtId="0" fontId="12" fillId="25" borderId="36" xfId="0" applyFont="1" applyFill="1" applyBorder="1" applyAlignment="1">
      <alignment vertical="top" wrapText="1"/>
    </xf>
    <xf numFmtId="0" fontId="20" fillId="25" borderId="80" xfId="0" applyNumberFormat="1" applyFont="1" applyFill="1" applyBorder="1" applyAlignment="1">
      <alignment vertical="top" wrapText="1"/>
    </xf>
    <xf numFmtId="0" fontId="16" fillId="25" borderId="35" xfId="0" applyFont="1" applyFill="1" applyBorder="1" applyAlignment="1">
      <alignment vertical="top" wrapText="1"/>
    </xf>
    <xf numFmtId="166" fontId="12" fillId="25" borderId="36" xfId="71" applyFont="1" applyFill="1" applyBorder="1" applyAlignment="1">
      <alignment vertical="top" wrapText="1"/>
    </xf>
    <xf numFmtId="168" fontId="44" fillId="25" borderId="36" xfId="71" applyNumberFormat="1" applyFont="1" applyFill="1" applyBorder="1" applyAlignment="1">
      <alignment vertical="top" wrapText="1"/>
    </xf>
    <xf numFmtId="168" fontId="44" fillId="25" borderId="80" xfId="71" applyNumberFormat="1" applyFont="1" applyFill="1" applyBorder="1" applyAlignment="1">
      <alignment vertical="top" wrapText="1"/>
    </xf>
    <xf numFmtId="168" fontId="22" fillId="25" borderId="92" xfId="71" applyNumberFormat="1" applyFont="1" applyFill="1" applyBorder="1" applyAlignment="1">
      <alignment vertical="top" wrapText="1"/>
    </xf>
    <xf numFmtId="0" fontId="13" fillId="0" borderId="53" xfId="0" applyFont="1" applyFill="1" applyBorder="1" applyAlignment="1">
      <alignment vertical="top"/>
    </xf>
    <xf numFmtId="0" fontId="20" fillId="25" borderId="54" xfId="0" applyNumberFormat="1" applyFont="1" applyFill="1" applyBorder="1" applyAlignment="1">
      <alignment vertical="top" wrapText="1"/>
    </xf>
    <xf numFmtId="166" fontId="12" fillId="25" borderId="54" xfId="71" applyFont="1" applyFill="1" applyBorder="1" applyAlignment="1">
      <alignment vertical="top" wrapText="1"/>
    </xf>
    <xf numFmtId="166" fontId="12" fillId="25" borderId="54" xfId="71" applyFont="1" applyFill="1" applyBorder="1" applyAlignment="1">
      <alignment vertical="top"/>
    </xf>
    <xf numFmtId="168" fontId="13" fillId="0" borderId="93" xfId="71" applyNumberFormat="1" applyFont="1" applyFill="1" applyBorder="1" applyAlignment="1">
      <alignment vertical="top" wrapText="1"/>
    </xf>
    <xf numFmtId="168" fontId="13" fillId="0" borderId="94" xfId="71" applyNumberFormat="1" applyFont="1" applyFill="1" applyBorder="1" applyAlignment="1">
      <alignment vertical="center" wrapText="1"/>
    </xf>
    <xf numFmtId="168" fontId="13" fillId="0" borderId="95" xfId="71" applyNumberFormat="1" applyFont="1" applyFill="1" applyBorder="1" applyAlignment="1">
      <alignment vertical="top" wrapText="1"/>
    </xf>
    <xf numFmtId="3" fontId="15" fillId="0" borderId="96" xfId="56" applyNumberFormat="1" applyFont="1" applyBorder="1" applyAlignment="1">
      <alignment vertical="top"/>
    </xf>
    <xf numFmtId="168" fontId="12" fillId="0" borderId="96" xfId="71" applyNumberFormat="1" applyFont="1" applyFill="1" applyBorder="1" applyAlignment="1">
      <alignment vertical="top" wrapText="1"/>
    </xf>
    <xf numFmtId="168" fontId="15" fillId="0" borderId="96" xfId="71" applyNumberFormat="1" applyFont="1" applyFill="1" applyBorder="1" applyAlignment="1">
      <alignment vertical="top" wrapText="1"/>
    </xf>
    <xf numFmtId="168" fontId="15" fillId="0" borderId="94" xfId="71" applyNumberFormat="1" applyFont="1" applyFill="1" applyBorder="1" applyAlignment="1">
      <alignment vertical="top" wrapText="1"/>
    </xf>
    <xf numFmtId="3" fontId="13" fillId="0" borderId="11" xfId="56" applyNumberFormat="1" applyFont="1" applyBorder="1" applyAlignment="1">
      <alignment vertical="top"/>
    </xf>
    <xf numFmtId="3" fontId="13" fillId="0" borderId="92" xfId="56" applyNumberFormat="1" applyFont="1" applyBorder="1" applyAlignment="1">
      <alignment vertical="center"/>
    </xf>
    <xf numFmtId="3" fontId="13" fillId="0" borderId="97" xfId="56" applyNumberFormat="1" applyFont="1" applyBorder="1" applyAlignment="1">
      <alignment vertical="top"/>
    </xf>
    <xf numFmtId="3" fontId="15" fillId="0" borderId="92" xfId="56" applyNumberFormat="1" applyFont="1" applyBorder="1" applyAlignment="1">
      <alignment vertical="top"/>
    </xf>
    <xf numFmtId="49" fontId="10" fillId="0" borderId="0" xfId="56" applyNumberFormat="1" applyFont="1" applyAlignment="1">
      <alignment horizontal="center"/>
    </xf>
    <xf numFmtId="0" fontId="10" fillId="30" borderId="34" xfId="0" applyFont="1" applyFill="1" applyBorder="1" applyAlignment="1">
      <alignment vertical="top"/>
    </xf>
    <xf numFmtId="10" fontId="10" fillId="28" borderId="19" xfId="56" applyNumberFormat="1" applyFont="1" applyFill="1" applyBorder="1" applyAlignment="1">
      <alignment horizontal="center"/>
    </xf>
    <xf numFmtId="10" fontId="10" fillId="28" borderId="20" xfId="56" applyNumberFormat="1" applyFont="1" applyFill="1" applyBorder="1" applyAlignment="1">
      <alignment horizontal="center"/>
    </xf>
    <xf numFmtId="10" fontId="10" fillId="28" borderId="21" xfId="56" applyNumberFormat="1" applyFont="1" applyFill="1" applyBorder="1" applyAlignment="1">
      <alignment horizontal="center"/>
    </xf>
    <xf numFmtId="49" fontId="10" fillId="26" borderId="16" xfId="56" applyNumberFormat="1" applyFont="1" applyFill="1" applyBorder="1"/>
    <xf numFmtId="49" fontId="10" fillId="26" borderId="17" xfId="56" applyNumberFormat="1" applyFont="1" applyFill="1" applyBorder="1"/>
    <xf numFmtId="49" fontId="10" fillId="26" borderId="18" xfId="56" applyNumberFormat="1" applyFont="1" applyFill="1" applyBorder="1"/>
    <xf numFmtId="168" fontId="67" fillId="26" borderId="0" xfId="59" applyNumberFormat="1" applyFont="1" applyFill="1" applyBorder="1"/>
    <xf numFmtId="166" fontId="41" fillId="26" borderId="0" xfId="53" applyNumberFormat="1" applyFont="1" applyFill="1" applyBorder="1" applyAlignment="1">
      <alignment vertical="top" wrapText="1"/>
    </xf>
    <xf numFmtId="168" fontId="48" fillId="26" borderId="0" xfId="59" applyNumberFormat="1" applyFill="1" applyBorder="1"/>
    <xf numFmtId="0" fontId="48" fillId="26" borderId="0" xfId="59" applyFill="1" applyBorder="1"/>
    <xf numFmtId="166" fontId="40" fillId="0" borderId="67" xfId="53" applyNumberFormat="1" applyFont="1" applyFill="1" applyBorder="1" applyAlignment="1">
      <alignment horizontal="center" vertical="center" wrapText="1"/>
    </xf>
    <xf numFmtId="166" fontId="40" fillId="0" borderId="68" xfId="53" applyNumberFormat="1" applyFont="1" applyFill="1" applyBorder="1" applyAlignment="1">
      <alignment horizontal="center" vertical="center" wrapText="1"/>
    </xf>
    <xf numFmtId="166" fontId="6" fillId="0" borderId="67" xfId="53" applyNumberFormat="1" applyFill="1" applyBorder="1" applyAlignment="1">
      <alignment vertical="top"/>
    </xf>
    <xf numFmtId="166" fontId="41" fillId="0" borderId="68" xfId="53" applyNumberFormat="1" applyFont="1" applyFill="1" applyBorder="1" applyAlignment="1">
      <alignment vertical="top" wrapText="1"/>
    </xf>
    <xf numFmtId="166" fontId="6" fillId="0" borderId="68" xfId="53" applyNumberFormat="1" applyFill="1" applyBorder="1" applyAlignment="1">
      <alignment vertical="top" wrapText="1"/>
    </xf>
    <xf numFmtId="166" fontId="6" fillId="0" borderId="68" xfId="53" applyNumberFormat="1" applyFont="1" applyFill="1" applyBorder="1" applyAlignment="1">
      <alignment vertical="top" wrapText="1"/>
    </xf>
    <xf numFmtId="166" fontId="6" fillId="0" borderId="69" xfId="53" applyNumberFormat="1" applyFill="1" applyBorder="1" applyAlignment="1">
      <alignment vertical="top"/>
    </xf>
    <xf numFmtId="166" fontId="41" fillId="0" borderId="70" xfId="53" applyNumberFormat="1" applyFont="1" applyFill="1" applyBorder="1" applyAlignment="1">
      <alignment vertical="top" wrapText="1"/>
    </xf>
    <xf numFmtId="168" fontId="6" fillId="0" borderId="45" xfId="53" applyNumberFormat="1" applyFont="1" applyFill="1" applyBorder="1" applyAlignment="1">
      <alignment vertical="top"/>
    </xf>
    <xf numFmtId="166" fontId="6" fillId="0" borderId="19" xfId="53" applyNumberFormat="1" applyFont="1" applyFill="1" applyBorder="1" applyAlignment="1">
      <alignment vertical="top" wrapText="1"/>
    </xf>
    <xf numFmtId="168" fontId="6" fillId="0" borderId="39" xfId="53" applyNumberFormat="1" applyFont="1" applyFill="1" applyBorder="1" applyAlignment="1">
      <alignment vertical="top"/>
    </xf>
    <xf numFmtId="168" fontId="6" fillId="0" borderId="35" xfId="53" applyNumberFormat="1" applyFont="1" applyFill="1" applyBorder="1" applyAlignment="1">
      <alignment vertical="top"/>
    </xf>
    <xf numFmtId="166" fontId="6" fillId="0" borderId="70" xfId="53" applyNumberFormat="1" applyFont="1" applyFill="1" applyBorder="1" applyAlignment="1">
      <alignment vertical="top" wrapText="1"/>
    </xf>
    <xf numFmtId="0" fontId="6" fillId="26" borderId="0" xfId="53" applyFill="1" applyBorder="1"/>
    <xf numFmtId="0" fontId="38" fillId="26" borderId="0" xfId="53" applyFont="1" applyFill="1" applyBorder="1"/>
    <xf numFmtId="166" fontId="40" fillId="0" borderId="98" xfId="53" applyNumberFormat="1" applyFont="1" applyFill="1" applyBorder="1" applyAlignment="1">
      <alignment horizontal="center" vertical="center" wrapText="1"/>
    </xf>
    <xf numFmtId="166" fontId="41" fillId="0" borderId="99" xfId="53" applyNumberFormat="1" applyFont="1" applyFill="1" applyBorder="1" applyAlignment="1">
      <alignment vertical="top" wrapText="1"/>
    </xf>
    <xf numFmtId="168" fontId="40" fillId="26" borderId="0" xfId="53" quotePrefix="1" applyNumberFormat="1" applyFont="1" applyFill="1" applyBorder="1" applyAlignment="1">
      <alignment horizontal="center" vertical="center"/>
    </xf>
    <xf numFmtId="168" fontId="6" fillId="26" borderId="0" xfId="53" applyNumberFormat="1" applyFill="1" applyBorder="1" applyAlignment="1">
      <alignment vertical="top"/>
    </xf>
    <xf numFmtId="168" fontId="6" fillId="26" borderId="44" xfId="53" applyNumberFormat="1" applyFont="1" applyFill="1" applyBorder="1" applyAlignment="1">
      <alignment vertical="top"/>
    </xf>
    <xf numFmtId="0" fontId="0" fillId="26" borderId="0" xfId="0" applyFill="1" applyBorder="1"/>
    <xf numFmtId="168" fontId="6" fillId="26" borderId="27" xfId="53" applyNumberFormat="1" applyFont="1" applyFill="1" applyBorder="1" applyAlignment="1">
      <alignment vertical="top"/>
    </xf>
    <xf numFmtId="168" fontId="6" fillId="26" borderId="47" xfId="53" applyNumberFormat="1" applyFont="1" applyFill="1" applyBorder="1" applyAlignment="1">
      <alignment vertical="top"/>
    </xf>
    <xf numFmtId="168" fontId="67" fillId="26" borderId="0" xfId="71" applyNumberFormat="1" applyFont="1" applyFill="1" applyBorder="1"/>
    <xf numFmtId="166" fontId="6" fillId="0" borderId="99" xfId="53" applyNumberFormat="1" applyFill="1" applyBorder="1" applyAlignment="1">
      <alignment vertical="top" wrapText="1"/>
    </xf>
    <xf numFmtId="166" fontId="6" fillId="0" borderId="99" xfId="53" applyNumberFormat="1" applyFont="1" applyFill="1" applyBorder="1" applyAlignment="1">
      <alignment vertical="top" wrapText="1"/>
    </xf>
    <xf numFmtId="166" fontId="41" fillId="0" borderId="100" xfId="53" applyNumberFormat="1" applyFont="1" applyFill="1" applyBorder="1" applyAlignment="1">
      <alignment vertical="top" wrapText="1"/>
    </xf>
    <xf numFmtId="0" fontId="17" fillId="0" borderId="39" xfId="56" applyNumberFormat="1" applyFont="1" applyFill="1" applyBorder="1" applyAlignment="1">
      <alignment vertical="top" wrapText="1"/>
    </xf>
    <xf numFmtId="0" fontId="17" fillId="0" borderId="13" xfId="57" applyNumberFormat="1" applyFont="1" applyFill="1" applyBorder="1" applyAlignment="1">
      <alignment vertical="top" wrapText="1"/>
    </xf>
    <xf numFmtId="0" fontId="23" fillId="0" borderId="101" xfId="0" applyFont="1" applyFill="1" applyBorder="1" applyAlignment="1">
      <alignment vertical="top" wrapText="1"/>
    </xf>
    <xf numFmtId="0" fontId="23" fillId="0" borderId="13" xfId="0" applyFont="1" applyFill="1" applyBorder="1" applyAlignment="1">
      <alignment vertical="top" wrapText="1"/>
    </xf>
    <xf numFmtId="0" fontId="23" fillId="0" borderId="39" xfId="57" applyFont="1" applyFill="1" applyBorder="1" applyAlignment="1">
      <alignment vertical="top"/>
    </xf>
    <xf numFmtId="0" fontId="17" fillId="0" borderId="13" xfId="56" applyNumberFormat="1" applyFont="1" applyFill="1" applyBorder="1" applyAlignment="1">
      <alignment vertical="top" wrapText="1"/>
    </xf>
    <xf numFmtId="0" fontId="28" fillId="0" borderId="39" xfId="0" applyFont="1" applyFill="1" applyBorder="1" applyAlignment="1">
      <alignment vertical="top" wrapText="1"/>
    </xf>
    <xf numFmtId="0" fontId="19" fillId="29" borderId="10" xfId="57" applyFont="1" applyFill="1" applyBorder="1" applyAlignment="1">
      <alignment vertical="top"/>
    </xf>
    <xf numFmtId="0" fontId="15" fillId="0" borderId="102" xfId="0" applyFont="1" applyFill="1" applyBorder="1" applyAlignment="1">
      <alignment vertical="top" wrapText="1"/>
    </xf>
    <xf numFmtId="0" fontId="37" fillId="0" borderId="13" xfId="56" applyFont="1" applyBorder="1" applyAlignment="1">
      <alignment vertical="top" wrapText="1"/>
    </xf>
    <xf numFmtId="0" fontId="8" fillId="0" borderId="12" xfId="0" applyFont="1" applyFill="1" applyBorder="1" applyAlignment="1">
      <alignment vertical="top" wrapText="1"/>
    </xf>
    <xf numFmtId="0" fontId="9" fillId="24" borderId="10" xfId="0" applyFont="1" applyFill="1" applyBorder="1" applyAlignment="1">
      <alignment vertical="top" wrapText="1"/>
    </xf>
    <xf numFmtId="0" fontId="6" fillId="0" borderId="0" xfId="0" applyFont="1"/>
    <xf numFmtId="0" fontId="0" fillId="0" borderId="0" xfId="0" quotePrefix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38" fillId="0" borderId="13" xfId="0" applyFont="1" applyBorder="1"/>
    <xf numFmtId="0" fontId="38" fillId="0" borderId="13" xfId="0" applyFont="1" applyBorder="1" applyAlignment="1">
      <alignment horizontal="center" textRotation="90" wrapText="1"/>
    </xf>
    <xf numFmtId="0" fontId="6" fillId="0" borderId="13" xfId="0" applyFont="1" applyBorder="1"/>
    <xf numFmtId="0" fontId="0" fillId="0" borderId="13" xfId="0" applyBorder="1"/>
    <xf numFmtId="0" fontId="38" fillId="0" borderId="37" xfId="0" applyFont="1" applyBorder="1"/>
    <xf numFmtId="0" fontId="38" fillId="0" borderId="48" xfId="0" applyFont="1" applyBorder="1" applyAlignment="1">
      <alignment horizontal="center" vertical="center"/>
    </xf>
    <xf numFmtId="0" fontId="38" fillId="0" borderId="10" xfId="0" applyFont="1" applyBorder="1"/>
    <xf numFmtId="0" fontId="0" fillId="0" borderId="49" xfId="0" applyBorder="1"/>
    <xf numFmtId="0" fontId="0" fillId="0" borderId="48" xfId="0" applyBorder="1"/>
    <xf numFmtId="0" fontId="0" fillId="0" borderId="37" xfId="0" applyBorder="1"/>
    <xf numFmtId="0" fontId="38" fillId="0" borderId="48" xfId="0" applyFont="1" applyBorder="1" applyAlignment="1">
      <alignment horizontal="center" textRotation="90" wrapText="1"/>
    </xf>
    <xf numFmtId="0" fontId="38" fillId="0" borderId="91" xfId="0" applyFont="1" applyBorder="1" applyAlignment="1">
      <alignment horizontal="center" vertical="center"/>
    </xf>
    <xf numFmtId="0" fontId="38" fillId="0" borderId="48" xfId="0" applyFont="1" applyBorder="1" applyAlignment="1">
      <alignment horizontal="center" vertical="center" textRotation="90" wrapText="1"/>
    </xf>
    <xf numFmtId="0" fontId="6" fillId="0" borderId="48" xfId="0" applyFont="1" applyBorder="1"/>
    <xf numFmtId="0" fontId="6" fillId="0" borderId="37" xfId="0" applyFont="1" applyBorder="1"/>
    <xf numFmtId="166" fontId="38" fillId="0" borderId="13" xfId="71" applyFont="1" applyBorder="1"/>
    <xf numFmtId="170" fontId="38" fillId="0" borderId="13" xfId="71" applyNumberFormat="1" applyFont="1" applyBorder="1"/>
    <xf numFmtId="168" fontId="38" fillId="0" borderId="13" xfId="71" applyNumberFormat="1" applyFont="1" applyBorder="1"/>
    <xf numFmtId="0" fontId="0" fillId="0" borderId="13" xfId="0" quotePrefix="1" applyBorder="1"/>
    <xf numFmtId="0" fontId="73" fillId="0" borderId="0" xfId="55" applyFont="1"/>
    <xf numFmtId="0" fontId="6" fillId="0" borderId="0" xfId="53" applyFont="1" applyFill="1"/>
    <xf numFmtId="2" fontId="6" fillId="0" borderId="0" xfId="53" applyNumberFormat="1" applyFont="1" applyFill="1" applyAlignment="1">
      <alignment horizontal="center"/>
    </xf>
    <xf numFmtId="0" fontId="6" fillId="0" borderId="0" xfId="53" applyFont="1" applyFill="1" applyAlignment="1">
      <alignment horizontal="center"/>
    </xf>
    <xf numFmtId="2" fontId="6" fillId="0" borderId="0" xfId="53" applyNumberFormat="1" applyFont="1" applyFill="1" applyBorder="1" applyAlignment="1">
      <alignment horizontal="center"/>
    </xf>
    <xf numFmtId="0" fontId="6" fillId="0" borderId="0" xfId="53" applyFont="1" applyFill="1" applyBorder="1" applyAlignment="1">
      <alignment horizontal="center"/>
    </xf>
    <xf numFmtId="0" fontId="70" fillId="24" borderId="0" xfId="53" applyFont="1" applyFill="1" applyAlignment="1">
      <alignment horizontal="center"/>
    </xf>
    <xf numFmtId="0" fontId="73" fillId="31" borderId="0" xfId="55" applyFont="1" applyFill="1"/>
    <xf numFmtId="0" fontId="14" fillId="31" borderId="13" xfId="55" applyFont="1" applyFill="1" applyBorder="1" applyAlignment="1">
      <alignment horizontal="center" vertical="center" wrapText="1"/>
    </xf>
    <xf numFmtId="2" fontId="9" fillId="0" borderId="0" xfId="53" applyNumberFormat="1" applyFont="1" applyFill="1" applyBorder="1" applyAlignment="1">
      <alignment horizontal="center"/>
    </xf>
    <xf numFmtId="0" fontId="9" fillId="0" borderId="0" xfId="53" applyFont="1" applyFill="1" applyBorder="1" applyAlignment="1">
      <alignment horizontal="center"/>
    </xf>
    <xf numFmtId="0" fontId="68" fillId="0" borderId="0" xfId="53" applyFont="1" applyFill="1" applyBorder="1" applyAlignment="1">
      <alignment horizontal="center" vertical="center"/>
    </xf>
    <xf numFmtId="0" fontId="68" fillId="0" borderId="0" xfId="53" applyFont="1" applyFill="1" applyBorder="1" applyAlignment="1">
      <alignment horizontal="center"/>
    </xf>
    <xf numFmtId="0" fontId="9" fillId="0" borderId="0" xfId="53" applyFont="1" applyFill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73" fillId="0" borderId="0" xfId="55" applyFont="1" applyAlignment="1">
      <alignment horizontal="center" vertical="center"/>
    </xf>
    <xf numFmtId="0" fontId="70" fillId="0" borderId="0" xfId="53" applyFont="1" applyFill="1" applyAlignment="1">
      <alignment horizontal="center"/>
    </xf>
    <xf numFmtId="2" fontId="76" fillId="0" borderId="0" xfId="0" applyNumberFormat="1" applyFont="1" applyAlignment="1">
      <alignment horizontal="center" vertical="center"/>
    </xf>
    <xf numFmtId="49" fontId="71" fillId="0" borderId="0" xfId="53" applyNumberFormat="1" applyFont="1" applyFill="1" applyAlignment="1">
      <alignment horizontal="center"/>
    </xf>
    <xf numFmtId="49" fontId="12" fillId="0" borderId="0" xfId="53" applyNumberFormat="1" applyFont="1" applyFill="1" applyBorder="1" applyAlignment="1">
      <alignment horizontal="center"/>
    </xf>
    <xf numFmtId="49" fontId="38" fillId="0" borderId="0" xfId="53" applyNumberFormat="1" applyFont="1" applyFill="1" applyBorder="1" applyAlignment="1">
      <alignment horizontal="center"/>
    </xf>
    <xf numFmtId="49" fontId="38" fillId="24" borderId="0" xfId="53" applyNumberFormat="1" applyFont="1" applyFill="1" applyAlignment="1">
      <alignment horizontal="center"/>
    </xf>
    <xf numFmtId="0" fontId="9" fillId="0" borderId="0" xfId="53" applyFont="1" applyFill="1"/>
    <xf numFmtId="0" fontId="69" fillId="0" borderId="0" xfId="0" applyFont="1"/>
    <xf numFmtId="0" fontId="6" fillId="0" borderId="0" xfId="0" applyFont="1" applyAlignment="1">
      <alignment vertical="center"/>
    </xf>
    <xf numFmtId="0" fontId="69" fillId="0" borderId="0" xfId="0" applyFont="1" applyAlignment="1">
      <alignment vertical="center"/>
    </xf>
    <xf numFmtId="0" fontId="9" fillId="0" borderId="0" xfId="0" applyFont="1" applyAlignment="1">
      <alignment horizontal="center" vertical="center" wrapText="1"/>
    </xf>
    <xf numFmtId="2" fontId="8" fillId="0" borderId="0" xfId="0" applyNumberFormat="1" applyFont="1" applyAlignment="1">
      <alignment horizontal="center" vertical="center"/>
    </xf>
    <xf numFmtId="0" fontId="14" fillId="0" borderId="13" xfId="0" applyFont="1" applyFill="1" applyBorder="1" applyAlignment="1">
      <alignment horizontal="center" vertical="center" wrapText="1"/>
    </xf>
    <xf numFmtId="0" fontId="6" fillId="0" borderId="0" xfId="0" applyFont="1" applyFill="1"/>
    <xf numFmtId="0" fontId="68" fillId="0" borderId="0" xfId="53" applyFont="1" applyFill="1" applyBorder="1"/>
    <xf numFmtId="0" fontId="9" fillId="0" borderId="0" xfId="53" applyFont="1" applyFill="1" applyBorder="1" applyAlignment="1">
      <alignment horizontal="left"/>
    </xf>
    <xf numFmtId="0" fontId="68" fillId="0" borderId="0" xfId="0" applyFont="1" applyAlignment="1">
      <alignment horizontal="left" vertical="center"/>
    </xf>
    <xf numFmtId="0" fontId="9" fillId="0" borderId="0" xfId="0" applyFont="1" applyAlignment="1">
      <alignment horizontal="left"/>
    </xf>
    <xf numFmtId="0" fontId="78" fillId="0" borderId="44" xfId="79" applyFont="1" applyFill="1" applyBorder="1"/>
    <xf numFmtId="0" fontId="68" fillId="0" borderId="0" xfId="0" applyFont="1" applyFill="1" applyAlignment="1">
      <alignment vertical="center"/>
    </xf>
    <xf numFmtId="0" fontId="78" fillId="0" borderId="0" xfId="79" applyFont="1" applyFill="1"/>
    <xf numFmtId="49" fontId="68" fillId="0" borderId="13" xfId="53" applyNumberFormat="1" applyFont="1" applyFill="1" applyBorder="1" applyAlignment="1">
      <alignment horizontal="center" vertical="top" wrapText="1"/>
    </xf>
    <xf numFmtId="0" fontId="68" fillId="0" borderId="13" xfId="53" applyFont="1" applyFill="1" applyBorder="1" applyAlignment="1">
      <alignment horizontal="center" vertical="top" wrapText="1"/>
    </xf>
    <xf numFmtId="0" fontId="73" fillId="0" borderId="0" xfId="55" applyFont="1" applyAlignment="1">
      <alignment horizontal="left"/>
    </xf>
    <xf numFmtId="0" fontId="77" fillId="24" borderId="13" xfId="55" applyFont="1" applyFill="1" applyBorder="1" applyAlignment="1">
      <alignment horizontal="center" vertical="center" wrapText="1" shrinkToFit="1"/>
    </xf>
    <xf numFmtId="0" fontId="13" fillId="31" borderId="13" xfId="55" applyFont="1" applyFill="1" applyBorder="1" applyAlignment="1">
      <alignment horizontal="center" vertical="center" wrapText="1" shrinkToFit="1"/>
    </xf>
    <xf numFmtId="49" fontId="6" fillId="0" borderId="0" xfId="53" applyNumberFormat="1" applyFont="1" applyFill="1" applyAlignment="1">
      <alignment horizontal="center"/>
    </xf>
    <xf numFmtId="49" fontId="6" fillId="0" borderId="0" xfId="53" applyNumberFormat="1" applyFont="1" applyFill="1"/>
    <xf numFmtId="49" fontId="9" fillId="0" borderId="0" xfId="53" applyNumberFormat="1" applyFont="1" applyFill="1" applyBorder="1" applyAlignment="1">
      <alignment horizontal="center"/>
    </xf>
    <xf numFmtId="49" fontId="68" fillId="0" borderId="0" xfId="53" applyNumberFormat="1" applyFont="1" applyFill="1" applyBorder="1"/>
    <xf numFmtId="49" fontId="9" fillId="0" borderId="0" xfId="53" applyNumberFormat="1" applyFont="1" applyFill="1" applyAlignment="1">
      <alignment horizontal="center"/>
    </xf>
    <xf numFmtId="49" fontId="6" fillId="0" borderId="0" xfId="53" applyNumberFormat="1" applyFont="1" applyFill="1" applyBorder="1" applyAlignment="1">
      <alignment horizontal="center"/>
    </xf>
    <xf numFmtId="49" fontId="6" fillId="0" borderId="0" xfId="0" applyNumberFormat="1" applyFont="1" applyAlignment="1">
      <alignment vertical="center" wrapText="1" shrinkToFit="1"/>
    </xf>
    <xf numFmtId="49" fontId="9" fillId="0" borderId="0" xfId="0" applyNumberFormat="1" applyFont="1" applyAlignment="1">
      <alignment horizontal="left" vertical="center" wrapText="1" shrinkToFit="1"/>
    </xf>
    <xf numFmtId="49" fontId="14" fillId="0" borderId="0" xfId="0" applyNumberFormat="1" applyFont="1" applyAlignment="1">
      <alignment horizontal="left" vertical="center" wrapText="1" shrinkToFit="1"/>
    </xf>
    <xf numFmtId="49" fontId="74" fillId="31" borderId="13" xfId="55" applyNumberFormat="1" applyFont="1" applyFill="1" applyBorder="1" applyAlignment="1">
      <alignment horizontal="center" vertical="center" wrapText="1" shrinkToFit="1"/>
    </xf>
    <xf numFmtId="49" fontId="68" fillId="0" borderId="0" xfId="0" applyNumberFormat="1" applyFont="1" applyFill="1" applyAlignment="1">
      <alignment horizontal="left" vertical="center" wrapText="1" shrinkToFit="1"/>
    </xf>
    <xf numFmtId="49" fontId="73" fillId="0" borderId="0" xfId="55" applyNumberFormat="1" applyFont="1" applyAlignment="1">
      <alignment horizontal="left" vertical="center" wrapText="1" shrinkToFit="1"/>
    </xf>
    <xf numFmtId="0" fontId="6" fillId="0" borderId="0" xfId="53" applyFont="1" applyFill="1" applyAlignment="1">
      <alignment wrapText="1" shrinkToFit="1"/>
    </xf>
    <xf numFmtId="0" fontId="68" fillId="0" borderId="13" xfId="53" applyFont="1" applyFill="1" applyBorder="1" applyAlignment="1">
      <alignment horizontal="center" vertical="top" wrapText="1" shrinkToFit="1"/>
    </xf>
    <xf numFmtId="0" fontId="9" fillId="0" borderId="0" xfId="53" applyFont="1" applyFill="1" applyBorder="1" applyAlignment="1">
      <alignment wrapText="1" shrinkToFit="1"/>
    </xf>
    <xf numFmtId="0" fontId="68" fillId="0" borderId="0" xfId="0" applyFont="1" applyFill="1" applyBorder="1" applyAlignment="1">
      <alignment horizontal="left" vertical="center" wrapText="1" shrinkToFit="1"/>
    </xf>
    <xf numFmtId="0" fontId="68" fillId="0" borderId="0" xfId="53" applyFont="1" applyFill="1" applyBorder="1" applyAlignment="1">
      <alignment wrapText="1" shrinkToFit="1"/>
    </xf>
    <xf numFmtId="0" fontId="68" fillId="0" borderId="0" xfId="0" applyFont="1" applyAlignment="1">
      <alignment horizontal="left" vertical="center" wrapText="1" shrinkToFit="1"/>
    </xf>
    <xf numFmtId="0" fontId="68" fillId="0" borderId="0" xfId="0" applyFont="1" applyAlignment="1">
      <alignment wrapText="1" shrinkToFit="1"/>
    </xf>
    <xf numFmtId="0" fontId="73" fillId="0" borderId="0" xfId="55" applyFont="1" applyAlignment="1">
      <alignment wrapText="1" shrinkToFit="1"/>
    </xf>
    <xf numFmtId="2" fontId="9" fillId="0" borderId="0" xfId="53" applyNumberFormat="1" applyFont="1" applyFill="1" applyBorder="1" applyAlignment="1">
      <alignment horizontal="center" wrapText="1" shrinkToFit="1"/>
    </xf>
    <xf numFmtId="2" fontId="6" fillId="0" borderId="0" xfId="53" applyNumberFormat="1" applyFont="1" applyFill="1" applyBorder="1" applyAlignment="1">
      <alignment horizontal="center" wrapText="1" shrinkToFit="1"/>
    </xf>
    <xf numFmtId="0" fontId="6" fillId="24" borderId="0" xfId="53" applyFont="1" applyFill="1" applyAlignment="1">
      <alignment wrapText="1" shrinkToFit="1"/>
    </xf>
    <xf numFmtId="0" fontId="6" fillId="0" borderId="0" xfId="53" applyFont="1" applyFill="1" applyAlignment="1">
      <alignment horizontal="center" vertical="center"/>
    </xf>
    <xf numFmtId="0" fontId="68" fillId="0" borderId="13" xfId="53" applyFont="1" applyFill="1" applyBorder="1" applyAlignment="1">
      <alignment horizontal="center" vertical="center" wrapText="1"/>
    </xf>
    <xf numFmtId="0" fontId="9" fillId="0" borderId="0" xfId="53" applyFont="1" applyFill="1" applyBorder="1" applyAlignment="1">
      <alignment horizontal="center" vertical="center"/>
    </xf>
    <xf numFmtId="0" fontId="9" fillId="0" borderId="0" xfId="53" applyFont="1" applyFill="1" applyAlignment="1">
      <alignment horizontal="center" vertical="center"/>
    </xf>
    <xf numFmtId="0" fontId="9" fillId="0" borderId="44" xfId="53" applyFont="1" applyFill="1" applyBorder="1" applyAlignment="1">
      <alignment horizontal="center" vertical="center"/>
    </xf>
    <xf numFmtId="173" fontId="9" fillId="0" borderId="0" xfId="53" applyNumberFormat="1" applyFont="1" applyFill="1" applyBorder="1" applyAlignment="1">
      <alignment horizontal="center" vertical="center"/>
    </xf>
    <xf numFmtId="0" fontId="6" fillId="0" borderId="0" xfId="53" applyFont="1" applyFill="1" applyBorder="1" applyAlignment="1">
      <alignment horizontal="center" vertical="center"/>
    </xf>
    <xf numFmtId="0" fontId="68" fillId="0" borderId="44" xfId="53" applyFont="1" applyFill="1" applyBorder="1" applyAlignment="1">
      <alignment horizontal="center" vertical="center"/>
    </xf>
    <xf numFmtId="49" fontId="68" fillId="0" borderId="13" xfId="53" applyNumberFormat="1" applyFont="1" applyFill="1" applyBorder="1" applyAlignment="1">
      <alignment horizontal="center" vertical="top" wrapText="1"/>
    </xf>
    <xf numFmtId="0" fontId="75" fillId="32" borderId="13" xfId="0" applyFont="1" applyFill="1" applyBorder="1" applyAlignment="1">
      <alignment horizontal="center" vertical="center" wrapText="1" shrinkToFit="1"/>
    </xf>
    <xf numFmtId="0" fontId="14" fillId="32" borderId="13" xfId="55" applyFont="1" applyFill="1" applyBorder="1" applyAlignment="1">
      <alignment horizontal="center" vertical="center" wrapText="1"/>
    </xf>
    <xf numFmtId="0" fontId="73" fillId="0" borderId="0" xfId="55" applyFont="1" applyBorder="1"/>
    <xf numFmtId="49" fontId="69" fillId="0" borderId="0" xfId="0" applyNumberFormat="1" applyFont="1" applyAlignment="1">
      <alignment vertical="center"/>
    </xf>
    <xf numFmtId="49" fontId="6" fillId="0" borderId="0" xfId="0" applyNumberFormat="1" applyFont="1"/>
    <xf numFmtId="49" fontId="9" fillId="0" borderId="0" xfId="0" applyNumberFormat="1" applyFont="1" applyAlignment="1">
      <alignment horizontal="center" wrapText="1"/>
    </xf>
    <xf numFmtId="49" fontId="14" fillId="0" borderId="0" xfId="0" applyNumberFormat="1" applyFont="1" applyAlignment="1">
      <alignment horizontal="center" wrapText="1"/>
    </xf>
    <xf numFmtId="49" fontId="13" fillId="32" borderId="13" xfId="55" applyNumberFormat="1" applyFont="1" applyFill="1" applyBorder="1" applyAlignment="1">
      <alignment horizontal="center" vertical="center" wrapText="1"/>
    </xf>
    <xf numFmtId="49" fontId="73" fillId="0" borderId="0" xfId="55" applyNumberFormat="1" applyFont="1" applyAlignment="1">
      <alignment horizontal="center"/>
    </xf>
    <xf numFmtId="0" fontId="6" fillId="0" borderId="0" xfId="53" applyFont="1" applyFill="1" applyAlignment="1">
      <alignment vertical="center"/>
    </xf>
    <xf numFmtId="0" fontId="14" fillId="0" borderId="13" xfId="55" applyFont="1" applyFill="1" applyBorder="1" applyAlignment="1">
      <alignment horizontal="center" vertical="center" wrapText="1"/>
    </xf>
    <xf numFmtId="0" fontId="73" fillId="0" borderId="0" xfId="55" applyFont="1" applyFill="1" applyAlignment="1">
      <alignment wrapText="1"/>
    </xf>
    <xf numFmtId="0" fontId="13" fillId="32" borderId="13" xfId="55" applyFont="1" applyFill="1" applyBorder="1" applyAlignment="1">
      <alignment horizontal="center" vertical="center" wrapText="1"/>
    </xf>
    <xf numFmtId="0" fontId="13" fillId="32" borderId="13" xfId="55" applyFont="1" applyFill="1" applyBorder="1" applyAlignment="1">
      <alignment horizontal="left" vertical="center" wrapText="1"/>
    </xf>
    <xf numFmtId="0" fontId="14" fillId="31" borderId="13" xfId="55" applyNumberFormat="1" applyFont="1" applyFill="1" applyBorder="1" applyAlignment="1">
      <alignment horizontal="left" vertical="center" wrapText="1"/>
    </xf>
    <xf numFmtId="0" fontId="6" fillId="0" borderId="13" xfId="0" applyFont="1" applyBorder="1" applyAlignment="1">
      <alignment horizontal="center"/>
    </xf>
    <xf numFmtId="0" fontId="75" fillId="33" borderId="13" xfId="0" applyFont="1" applyFill="1" applyBorder="1" applyAlignment="1">
      <alignment horizontal="center" vertical="center" wrapText="1" shrinkToFit="1"/>
    </xf>
    <xf numFmtId="0" fontId="14" fillId="33" borderId="13" xfId="55" applyFont="1" applyFill="1" applyBorder="1" applyAlignment="1">
      <alignment horizontal="center" vertical="center" wrapText="1"/>
    </xf>
    <xf numFmtId="0" fontId="14" fillId="0" borderId="13" xfId="55" applyNumberFormat="1" applyFont="1" applyFill="1" applyBorder="1" applyAlignment="1">
      <alignment horizontal="left" vertical="center" wrapText="1"/>
    </xf>
    <xf numFmtId="2" fontId="76" fillId="0" borderId="0" xfId="55" applyNumberFormat="1" applyFont="1" applyAlignment="1">
      <alignment horizontal="center" vertical="center"/>
    </xf>
    <xf numFmtId="0" fontId="68" fillId="0" borderId="13" xfId="53" applyFont="1" applyFill="1" applyBorder="1" applyAlignment="1">
      <alignment horizontal="center" vertical="top" wrapText="1"/>
    </xf>
    <xf numFmtId="173" fontId="6" fillId="0" borderId="0" xfId="53" applyNumberFormat="1" applyFont="1" applyFill="1" applyAlignment="1">
      <alignment horizontal="center"/>
    </xf>
    <xf numFmtId="0" fontId="68" fillId="0" borderId="44" xfId="53" applyFont="1" applyFill="1" applyBorder="1" applyAlignment="1">
      <alignment horizontal="center"/>
    </xf>
    <xf numFmtId="0" fontId="9" fillId="0" borderId="44" xfId="53" applyFont="1" applyFill="1" applyBorder="1" applyAlignment="1">
      <alignment horizontal="center"/>
    </xf>
    <xf numFmtId="172" fontId="9" fillId="0" borderId="0" xfId="53" applyNumberFormat="1" applyFont="1" applyFill="1" applyBorder="1" applyAlignment="1">
      <alignment horizontal="center"/>
    </xf>
    <xf numFmtId="173" fontId="9" fillId="0" borderId="0" xfId="53" applyNumberFormat="1" applyFont="1" applyFill="1" applyBorder="1" applyAlignment="1">
      <alignment horizontal="center"/>
    </xf>
    <xf numFmtId="171" fontId="9" fillId="0" borderId="0" xfId="53" applyNumberFormat="1" applyFont="1" applyFill="1" applyBorder="1" applyAlignment="1">
      <alignment horizontal="center"/>
    </xf>
    <xf numFmtId="49" fontId="13" fillId="33" borderId="13" xfId="55" applyNumberFormat="1" applyFont="1" applyFill="1" applyBorder="1" applyAlignment="1">
      <alignment horizontal="center" vertical="center" wrapText="1"/>
    </xf>
    <xf numFmtId="0" fontId="74" fillId="33" borderId="13" xfId="0" applyFont="1" applyFill="1" applyBorder="1" applyAlignment="1">
      <alignment vertical="center" wrapText="1" shrinkToFit="1"/>
    </xf>
    <xf numFmtId="0" fontId="14" fillId="0" borderId="13" xfId="0" applyFont="1" applyFill="1" applyBorder="1" applyAlignment="1">
      <alignment horizontal="center" vertical="center" wrapText="1" shrinkToFit="1"/>
    </xf>
    <xf numFmtId="0" fontId="14" fillId="0" borderId="13" xfId="55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/>
    <xf numFmtId="0" fontId="6" fillId="0" borderId="0" xfId="0" applyFont="1" applyFill="1" applyBorder="1" applyAlignment="1"/>
    <xf numFmtId="0" fontId="73" fillId="31" borderId="0" xfId="55" applyFont="1" applyFill="1" applyBorder="1" applyAlignment="1">
      <alignment horizontal="center"/>
    </xf>
    <xf numFmtId="0" fontId="73" fillId="0" borderId="0" xfId="55" applyFont="1" applyBorder="1" applyAlignment="1"/>
    <xf numFmtId="0" fontId="73" fillId="31" borderId="0" xfId="55" applyFont="1" applyFill="1" applyBorder="1" applyAlignment="1"/>
    <xf numFmtId="0" fontId="73" fillId="0" borderId="0" xfId="55" applyFont="1" applyFill="1" applyAlignment="1"/>
    <xf numFmtId="0" fontId="73" fillId="0" borderId="0" xfId="55" applyFont="1" applyAlignment="1"/>
    <xf numFmtId="0" fontId="74" fillId="33" borderId="27" xfId="0" applyFont="1" applyFill="1" applyBorder="1" applyAlignment="1">
      <alignment vertical="top" wrapText="1" shrinkToFit="1"/>
    </xf>
    <xf numFmtId="0" fontId="74" fillId="33" borderId="49" xfId="0" applyFont="1" applyFill="1" applyBorder="1" applyAlignment="1">
      <alignment vertical="top" wrapText="1" shrinkToFit="1"/>
    </xf>
    <xf numFmtId="0" fontId="13" fillId="32" borderId="49" xfId="55" applyFont="1" applyFill="1" applyBorder="1" applyAlignment="1">
      <alignment vertical="center" wrapText="1"/>
    </xf>
    <xf numFmtId="0" fontId="13" fillId="32" borderId="27" xfId="55" applyFont="1" applyFill="1" applyBorder="1" applyAlignment="1">
      <alignment vertical="center" wrapText="1"/>
    </xf>
    <xf numFmtId="0" fontId="74" fillId="33" borderId="10" xfId="0" applyFont="1" applyFill="1" applyBorder="1" applyAlignment="1">
      <alignment vertical="top" wrapText="1" shrinkToFit="1"/>
    </xf>
    <xf numFmtId="0" fontId="6" fillId="0" borderId="0" xfId="53" applyFont="1" applyFill="1"/>
    <xf numFmtId="0" fontId="6" fillId="0" borderId="0" xfId="53" applyFont="1" applyFill="1" applyAlignment="1">
      <alignment horizontal="center"/>
    </xf>
    <xf numFmtId="0" fontId="9" fillId="31" borderId="13" xfId="53" applyFont="1" applyFill="1" applyBorder="1" applyAlignment="1">
      <alignment horizontal="center" vertical="center" wrapText="1"/>
    </xf>
    <xf numFmtId="0" fontId="6" fillId="31" borderId="0" xfId="53" applyFont="1" applyFill="1" applyAlignment="1">
      <alignment horizontal="center"/>
    </xf>
    <xf numFmtId="0" fontId="6" fillId="31" borderId="0" xfId="53" applyFont="1" applyFill="1"/>
    <xf numFmtId="0" fontId="6" fillId="0" borderId="0" xfId="53" applyFont="1" applyFill="1" applyAlignment="1">
      <alignment horizontal="center" vertical="center"/>
    </xf>
    <xf numFmtId="0" fontId="6" fillId="31" borderId="0" xfId="53" applyFont="1" applyFill="1" applyAlignment="1">
      <alignment horizontal="center" vertical="center"/>
    </xf>
    <xf numFmtId="0" fontId="6" fillId="0" borderId="0" xfId="53" applyFont="1" applyFill="1" applyAlignment="1">
      <alignment horizontal="center"/>
    </xf>
    <xf numFmtId="0" fontId="6" fillId="0" borderId="0" xfId="53" applyFont="1" applyFill="1" applyAlignment="1">
      <alignment horizontal="center" vertical="center"/>
    </xf>
    <xf numFmtId="1" fontId="69" fillId="0" borderId="0" xfId="0" applyNumberFormat="1" applyFont="1" applyAlignment="1">
      <alignment vertical="center"/>
    </xf>
    <xf numFmtId="0" fontId="14" fillId="31" borderId="13" xfId="95" applyNumberFormat="1" applyFont="1" applyFill="1" applyBorder="1" applyAlignment="1">
      <alignment horizontal="left" vertical="center" wrapText="1"/>
    </xf>
    <xf numFmtId="0" fontId="14" fillId="31" borderId="13" xfId="85" applyNumberFormat="1" applyFont="1" applyFill="1" applyBorder="1" applyAlignment="1">
      <alignment horizontal="left" vertical="center" wrapText="1"/>
    </xf>
    <xf numFmtId="49" fontId="68" fillId="0" borderId="13" xfId="55" applyNumberFormat="1" applyFont="1" applyBorder="1" applyAlignment="1">
      <alignment horizontal="center" vertical="center" wrapText="1" shrinkToFit="1"/>
    </xf>
    <xf numFmtId="0" fontId="68" fillId="0" borderId="13" xfId="55" applyFont="1" applyBorder="1" applyAlignment="1">
      <alignment horizontal="center" vertical="center" wrapText="1" shrinkToFit="1"/>
    </xf>
    <xf numFmtId="0" fontId="14" fillId="0" borderId="13" xfId="0" applyFont="1" applyFill="1" applyBorder="1" applyAlignment="1">
      <alignment horizontal="left" vertical="center" wrapText="1" shrinkToFit="1"/>
    </xf>
    <xf numFmtId="0" fontId="14" fillId="0" borderId="13" xfId="53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left" vertical="center" wrapText="1"/>
    </xf>
    <xf numFmtId="2" fontId="14" fillId="0" borderId="13" xfId="53" applyNumberFormat="1" applyFont="1" applyFill="1" applyBorder="1" applyAlignment="1">
      <alignment horizontal="center" vertical="center" wrapText="1"/>
    </xf>
    <xf numFmtId="1" fontId="14" fillId="0" borderId="13" xfId="53" applyNumberFormat="1" applyFont="1" applyFill="1" applyBorder="1" applyAlignment="1">
      <alignment horizontal="center" vertical="center" wrapText="1"/>
    </xf>
    <xf numFmtId="0" fontId="14" fillId="0" borderId="13" xfId="0" applyNumberFormat="1" applyFont="1" applyFill="1" applyBorder="1" applyAlignment="1" applyProtection="1">
      <alignment horizontal="left" vertical="center" wrapText="1"/>
    </xf>
    <xf numFmtId="0" fontId="80" fillId="0" borderId="0" xfId="80" applyNumberFormat="1" applyFont="1" applyFill="1" applyBorder="1" applyAlignment="1">
      <alignment vertical="center" wrapText="1"/>
    </xf>
    <xf numFmtId="0" fontId="80" fillId="0" borderId="0" xfId="53" applyFont="1" applyFill="1" applyAlignment="1">
      <alignment horizontal="center"/>
    </xf>
    <xf numFmtId="0" fontId="80" fillId="0" borderId="0" xfId="53" applyFont="1" applyFill="1"/>
    <xf numFmtId="0" fontId="80" fillId="0" borderId="0" xfId="53" applyFont="1" applyFill="1" applyAlignment="1">
      <alignment horizontal="center" vertical="center"/>
    </xf>
    <xf numFmtId="0" fontId="80" fillId="0" borderId="0" xfId="0" applyNumberFormat="1" applyFont="1" applyFill="1" applyBorder="1" applyAlignment="1" applyProtection="1">
      <alignment horizontal="center" vertical="center"/>
    </xf>
    <xf numFmtId="0" fontId="81" fillId="0" borderId="0" xfId="0" applyNumberFormat="1" applyFont="1" applyFill="1" applyBorder="1" applyAlignment="1" applyProtection="1"/>
    <xf numFmtId="0" fontId="80" fillId="0" borderId="0" xfId="0" applyNumberFormat="1" applyFont="1" applyFill="1" applyBorder="1" applyAlignment="1" applyProtection="1">
      <alignment horizontal="center"/>
    </xf>
    <xf numFmtId="0" fontId="82" fillId="0" borderId="0" xfId="53" applyFont="1" applyFill="1" applyAlignment="1">
      <alignment horizontal="center" vertical="center"/>
    </xf>
    <xf numFmtId="0" fontId="82" fillId="0" borderId="0" xfId="53" applyFont="1" applyFill="1" applyAlignment="1">
      <alignment horizontal="center"/>
    </xf>
    <xf numFmtId="0" fontId="82" fillId="0" borderId="0" xfId="53" applyFont="1" applyFill="1"/>
    <xf numFmtId="1" fontId="14" fillId="0" borderId="13" xfId="55" applyNumberFormat="1" applyFont="1" applyFill="1" applyBorder="1" applyAlignment="1">
      <alignment horizontal="center" vertical="center" wrapText="1"/>
    </xf>
    <xf numFmtId="0" fontId="80" fillId="0" borderId="0" xfId="53" applyFont="1" applyFill="1" applyAlignment="1">
      <alignment horizontal="left" vertical="center"/>
    </xf>
    <xf numFmtId="1" fontId="14" fillId="0" borderId="0" xfId="53" quotePrefix="1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73" fillId="0" borderId="0" xfId="55" applyFont="1" applyFill="1" applyBorder="1" applyAlignment="1"/>
    <xf numFmtId="0" fontId="73" fillId="0" borderId="0" xfId="55" applyFont="1" applyFill="1"/>
    <xf numFmtId="0" fontId="13" fillId="32" borderId="13" xfId="0" applyFont="1" applyFill="1" applyBorder="1" applyAlignment="1">
      <alignment vertical="center" wrapText="1" shrinkToFit="1"/>
    </xf>
    <xf numFmtId="2" fontId="73" fillId="0" borderId="0" xfId="55" applyNumberFormat="1" applyFont="1" applyFill="1"/>
    <xf numFmtId="0" fontId="14" fillId="31" borderId="13" xfId="0" applyFont="1" applyFill="1" applyBorder="1" applyAlignment="1">
      <alignment vertical="center" wrapText="1" shrinkToFit="1"/>
    </xf>
    <xf numFmtId="0" fontId="14" fillId="0" borderId="13" xfId="0" applyNumberFormat="1" applyFont="1" applyFill="1" applyBorder="1" applyAlignment="1" applyProtection="1">
      <alignment vertical="center" wrapText="1" shrinkToFit="1"/>
    </xf>
    <xf numFmtId="0" fontId="14" fillId="0" borderId="13" xfId="0" applyFont="1" applyFill="1" applyBorder="1" applyAlignment="1">
      <alignment horizontal="center" vertical="center"/>
    </xf>
    <xf numFmtId="0" fontId="73" fillId="0" borderId="0" xfId="55" applyFont="1" applyAlignment="1">
      <alignment horizontal="left"/>
    </xf>
    <xf numFmtId="0" fontId="75" fillId="0" borderId="0" xfId="0" applyFont="1" applyAlignment="1">
      <alignment horizontal="left" vertical="center" wrapText="1"/>
    </xf>
    <xf numFmtId="49" fontId="13" fillId="32" borderId="13" xfId="55" applyNumberFormat="1" applyFont="1" applyFill="1" applyBorder="1" applyAlignment="1">
      <alignment horizontal="left" vertical="center" wrapText="1" shrinkToFit="1"/>
    </xf>
    <xf numFmtId="0" fontId="68" fillId="32" borderId="13" xfId="55" applyFont="1" applyFill="1" applyBorder="1" applyAlignment="1">
      <alignment horizontal="center" vertical="center" wrapText="1" shrinkToFit="1"/>
    </xf>
    <xf numFmtId="49" fontId="69" fillId="32" borderId="13" xfId="55" applyNumberFormat="1" applyFont="1" applyFill="1" applyBorder="1" applyAlignment="1">
      <alignment horizontal="center" vertical="center" wrapText="1" shrinkToFit="1"/>
    </xf>
    <xf numFmtId="0" fontId="14" fillId="33" borderId="13" xfId="0" applyFont="1" applyFill="1" applyBorder="1" applyAlignment="1">
      <alignment horizontal="center" vertical="center" wrapText="1"/>
    </xf>
    <xf numFmtId="1" fontId="13" fillId="33" borderId="13" xfId="55" applyNumberFormat="1" applyFont="1" applyFill="1" applyBorder="1" applyAlignment="1">
      <alignment horizontal="center" vertical="center" wrapText="1"/>
    </xf>
    <xf numFmtId="0" fontId="13" fillId="33" borderId="13" xfId="0" applyFont="1" applyFill="1" applyBorder="1" applyAlignment="1">
      <alignment horizontal="left" vertical="center" wrapText="1" shrinkToFit="1"/>
    </xf>
    <xf numFmtId="0" fontId="14" fillId="32" borderId="13" xfId="0" applyFont="1" applyFill="1" applyBorder="1" applyAlignment="1">
      <alignment horizontal="center" vertical="center" wrapText="1"/>
    </xf>
    <xf numFmtId="1" fontId="13" fillId="32" borderId="13" xfId="55" applyNumberFormat="1" applyFont="1" applyFill="1" applyBorder="1" applyAlignment="1">
      <alignment horizontal="center" vertical="center" wrapText="1"/>
    </xf>
    <xf numFmtId="0" fontId="14" fillId="31" borderId="0" xfId="55" applyFont="1" applyFill="1" applyBorder="1" applyAlignment="1">
      <alignment horizontal="center" vertical="center" wrapText="1"/>
    </xf>
    <xf numFmtId="0" fontId="14" fillId="31" borderId="0" xfId="85" applyNumberFormat="1" applyFont="1" applyFill="1" applyBorder="1" applyAlignment="1">
      <alignment horizontal="left" vertical="center" wrapText="1"/>
    </xf>
    <xf numFmtId="0" fontId="14" fillId="0" borderId="0" xfId="55" applyNumberFormat="1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center"/>
    </xf>
    <xf numFmtId="3" fontId="14" fillId="0" borderId="13" xfId="0" applyNumberFormat="1" applyFont="1" applyFill="1" applyBorder="1" applyAlignment="1">
      <alignment horizontal="center" vertical="center" wrapText="1"/>
    </xf>
    <xf numFmtId="3" fontId="14" fillId="0" borderId="13" xfId="53" quotePrefix="1" applyNumberFormat="1" applyFont="1" applyFill="1" applyBorder="1" applyAlignment="1">
      <alignment horizontal="center" vertical="center"/>
    </xf>
    <xf numFmtId="3" fontId="14" fillId="0" borderId="13" xfId="53" applyNumberFormat="1" applyFont="1" applyFill="1" applyBorder="1" applyAlignment="1">
      <alignment horizontal="center" vertical="center" wrapText="1"/>
    </xf>
    <xf numFmtId="0" fontId="20" fillId="0" borderId="15" xfId="56" applyFont="1" applyBorder="1" applyAlignment="1">
      <alignment horizontal="center" vertical="center" wrapText="1"/>
    </xf>
    <xf numFmtId="0" fontId="20" fillId="0" borderId="13" xfId="56" applyFont="1" applyBorder="1" applyAlignment="1">
      <alignment horizontal="center" vertical="center" wrapText="1"/>
    </xf>
    <xf numFmtId="0" fontId="20" fillId="0" borderId="103" xfId="56" applyFont="1" applyBorder="1" applyAlignment="1">
      <alignment horizontal="center" vertical="center" wrapText="1"/>
    </xf>
    <xf numFmtId="0" fontId="20" fillId="0" borderId="34" xfId="56" applyFont="1" applyBorder="1" applyAlignment="1">
      <alignment horizontal="center" vertical="center" wrapText="1"/>
    </xf>
    <xf numFmtId="49" fontId="15" fillId="0" borderId="50" xfId="56" applyNumberFormat="1" applyFont="1" applyFill="1" applyBorder="1" applyAlignment="1">
      <alignment horizontal="center" vertical="center" wrapText="1"/>
    </xf>
    <xf numFmtId="49" fontId="15" fillId="0" borderId="104" xfId="56" applyNumberFormat="1" applyFont="1" applyFill="1" applyBorder="1" applyAlignment="1">
      <alignment horizontal="center" vertical="center" wrapText="1"/>
    </xf>
    <xf numFmtId="49" fontId="12" fillId="0" borderId="15" xfId="56" applyNumberFormat="1" applyFont="1" applyBorder="1" applyAlignment="1">
      <alignment horizontal="center" vertical="center" wrapText="1"/>
    </xf>
    <xf numFmtId="49" fontId="12" fillId="0" borderId="13" xfId="56" applyNumberFormat="1" applyFont="1" applyBorder="1" applyAlignment="1">
      <alignment horizontal="center" vertical="center" wrapText="1"/>
    </xf>
    <xf numFmtId="49" fontId="10" fillId="0" borderId="45" xfId="56" applyNumberFormat="1" applyFont="1" applyBorder="1" applyAlignment="1">
      <alignment horizontal="center" vertical="center" wrapText="1"/>
    </xf>
    <xf numFmtId="49" fontId="10" fillId="0" borderId="39" xfId="56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31" fillId="0" borderId="0" xfId="0" applyFont="1" applyAlignment="1">
      <alignment horizontal="center" wrapText="1"/>
    </xf>
    <xf numFmtId="0" fontId="13" fillId="0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31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75" fillId="0" borderId="0" xfId="0" applyFont="1" applyAlignment="1">
      <alignment horizontal="center" vertical="center" wrapText="1"/>
    </xf>
    <xf numFmtId="0" fontId="75" fillId="0" borderId="0" xfId="0" applyFont="1" applyAlignment="1">
      <alignment horizontal="right" vertical="center" wrapText="1"/>
    </xf>
    <xf numFmtId="0" fontId="71" fillId="0" borderId="0" xfId="53" applyNumberFormat="1" applyFont="1" applyFill="1" applyAlignment="1">
      <alignment horizontal="center" vertical="center" wrapText="1"/>
    </xf>
    <xf numFmtId="0" fontId="70" fillId="0" borderId="0" xfId="53" applyFont="1" applyFill="1" applyAlignment="1">
      <alignment horizontal="center" vertical="center"/>
    </xf>
    <xf numFmtId="49" fontId="69" fillId="31" borderId="13" xfId="53" applyNumberFormat="1" applyFont="1" applyFill="1" applyBorder="1" applyAlignment="1">
      <alignment horizontal="center" vertical="top" wrapText="1"/>
    </xf>
    <xf numFmtId="49" fontId="12" fillId="31" borderId="13" xfId="53" applyNumberFormat="1" applyFont="1" applyFill="1" applyBorder="1" applyAlignment="1">
      <alignment horizontal="center" vertical="top" wrapText="1"/>
    </xf>
    <xf numFmtId="0" fontId="68" fillId="0" borderId="13" xfId="53" applyFont="1" applyFill="1" applyBorder="1" applyAlignment="1">
      <alignment horizontal="center" vertical="top" wrapText="1" shrinkToFit="1"/>
    </xf>
    <xf numFmtId="0" fontId="68" fillId="0" borderId="13" xfId="53" applyFont="1" applyFill="1" applyBorder="1" applyAlignment="1">
      <alignment horizontal="center" vertical="top" wrapText="1"/>
    </xf>
    <xf numFmtId="49" fontId="68" fillId="0" borderId="13" xfId="53" applyNumberFormat="1" applyFont="1" applyFill="1" applyBorder="1" applyAlignment="1">
      <alignment horizontal="center" vertical="top" wrapText="1"/>
    </xf>
    <xf numFmtId="0" fontId="9" fillId="0" borderId="13" xfId="53" applyFont="1" applyFill="1" applyBorder="1" applyAlignment="1">
      <alignment horizontal="center" vertical="top" wrapText="1"/>
    </xf>
    <xf numFmtId="0" fontId="73" fillId="0" borderId="0" xfId="55" applyFont="1" applyAlignment="1">
      <alignment horizontal="left"/>
    </xf>
    <xf numFmtId="0" fontId="73" fillId="0" borderId="0" xfId="55" applyFont="1" applyAlignment="1">
      <alignment horizontal="left" vertical="center"/>
    </xf>
    <xf numFmtId="0" fontId="9" fillId="0" borderId="0" xfId="53" applyFont="1" applyFill="1" applyBorder="1" applyAlignment="1">
      <alignment horizontal="left" wrapText="1"/>
    </xf>
    <xf numFmtId="0" fontId="9" fillId="0" borderId="0" xfId="53" applyFont="1" applyFill="1" applyBorder="1" applyAlignment="1">
      <alignment horizontal="left" vertical="center" wrapText="1"/>
    </xf>
    <xf numFmtId="0" fontId="68" fillId="0" borderId="0" xfId="0" applyFont="1" applyFill="1" applyBorder="1" applyAlignment="1">
      <alignment horizontal="left" vertical="center"/>
    </xf>
    <xf numFmtId="0" fontId="38" fillId="0" borderId="10" xfId="0" applyFont="1" applyBorder="1" applyAlignment="1">
      <alignment horizontal="center"/>
    </xf>
    <xf numFmtId="0" fontId="38" fillId="0" borderId="27" xfId="0" applyFont="1" applyBorder="1" applyAlignment="1">
      <alignment horizontal="center"/>
    </xf>
    <xf numFmtId="0" fontId="38" fillId="0" borderId="49" xfId="0" applyFont="1" applyBorder="1" applyAlignment="1">
      <alignment horizontal="center"/>
    </xf>
    <xf numFmtId="0" fontId="38" fillId="0" borderId="10" xfId="0" quotePrefix="1" applyFont="1" applyBorder="1"/>
    <xf numFmtId="0" fontId="38" fillId="0" borderId="27" xfId="0" quotePrefix="1" applyFont="1" applyBorder="1"/>
    <xf numFmtId="0" fontId="38" fillId="0" borderId="49" xfId="0" quotePrefix="1" applyFont="1" applyBorder="1"/>
    <xf numFmtId="2" fontId="71" fillId="0" borderId="0" xfId="55" applyNumberFormat="1" applyFont="1" applyAlignment="1">
      <alignment horizontal="right" vertical="center"/>
    </xf>
  </cellXfs>
  <cellStyles count="96">
    <cellStyle name="20% - Акцент1 2" xfId="1" xr:uid="{00000000-0005-0000-0000-000000000000}"/>
    <cellStyle name="20% - Акцент2 2" xfId="2" xr:uid="{00000000-0005-0000-0000-000001000000}"/>
    <cellStyle name="20% - Акцент3 2" xfId="3" xr:uid="{00000000-0005-0000-0000-000002000000}"/>
    <cellStyle name="20% - Акцент4 2" xfId="4" xr:uid="{00000000-0005-0000-0000-000003000000}"/>
    <cellStyle name="20% - Акцент5 2" xfId="5" xr:uid="{00000000-0005-0000-0000-000004000000}"/>
    <cellStyle name="20% - Акцент6 2" xfId="6" xr:uid="{00000000-0005-0000-0000-000005000000}"/>
    <cellStyle name="40% - Акцент1 2" xfId="7" xr:uid="{00000000-0005-0000-0000-000006000000}"/>
    <cellStyle name="40% - Акцент2 2" xfId="8" xr:uid="{00000000-0005-0000-0000-000007000000}"/>
    <cellStyle name="40% - Акцент3 2" xfId="9" xr:uid="{00000000-0005-0000-0000-000008000000}"/>
    <cellStyle name="40% - Акцент4 2" xfId="10" xr:uid="{00000000-0005-0000-0000-000009000000}"/>
    <cellStyle name="40% - Акцент5 2" xfId="11" xr:uid="{00000000-0005-0000-0000-00000A000000}"/>
    <cellStyle name="40% - Акцент6 2" xfId="12" xr:uid="{00000000-0005-0000-0000-00000B000000}"/>
    <cellStyle name="60% - Акцент1 2" xfId="13" xr:uid="{00000000-0005-0000-0000-00000C000000}"/>
    <cellStyle name="60% - Акцент2 2" xfId="14" xr:uid="{00000000-0005-0000-0000-00000D000000}"/>
    <cellStyle name="60% - Акцент3 2" xfId="15" xr:uid="{00000000-0005-0000-0000-00000E000000}"/>
    <cellStyle name="60% - Акцент4 2" xfId="16" xr:uid="{00000000-0005-0000-0000-00000F000000}"/>
    <cellStyle name="60% - Акцент5 2" xfId="17" xr:uid="{00000000-0005-0000-0000-000010000000}"/>
    <cellStyle name="60% - Акцент6 2" xfId="18" xr:uid="{00000000-0005-0000-0000-000011000000}"/>
    <cellStyle name="Акцент1" xfId="19" builtinId="29" customBuiltin="1"/>
    <cellStyle name="Акцент1 2" xfId="20" xr:uid="{00000000-0005-0000-0000-000013000000}"/>
    <cellStyle name="Акцент2" xfId="21" builtinId="33" customBuiltin="1"/>
    <cellStyle name="Акцент2 2" xfId="22" xr:uid="{00000000-0005-0000-0000-000015000000}"/>
    <cellStyle name="Акцент3" xfId="23" builtinId="37" customBuiltin="1"/>
    <cellStyle name="Акцент3 2" xfId="24" xr:uid="{00000000-0005-0000-0000-000017000000}"/>
    <cellStyle name="Акцент4" xfId="25" builtinId="41" customBuiltin="1"/>
    <cellStyle name="Акцент4 2" xfId="26" xr:uid="{00000000-0005-0000-0000-000019000000}"/>
    <cellStyle name="Акцент5" xfId="27" builtinId="45" customBuiltin="1"/>
    <cellStyle name="Акцент5 2" xfId="28" xr:uid="{00000000-0005-0000-0000-00001B000000}"/>
    <cellStyle name="Акцент6" xfId="29" builtinId="49" customBuiltin="1"/>
    <cellStyle name="Акцент6 2" xfId="30" xr:uid="{00000000-0005-0000-0000-00001D000000}"/>
    <cellStyle name="Ввод " xfId="31" builtinId="20" customBuiltin="1"/>
    <cellStyle name="Ввод  2" xfId="32" xr:uid="{00000000-0005-0000-0000-00001F000000}"/>
    <cellStyle name="Вывод" xfId="33" builtinId="21" customBuiltin="1"/>
    <cellStyle name="Вывод 2" xfId="34" xr:uid="{00000000-0005-0000-0000-000021000000}"/>
    <cellStyle name="Вычисление" xfId="35" builtinId="22" customBuiltin="1"/>
    <cellStyle name="Вычисление 2" xfId="36" xr:uid="{00000000-0005-0000-0000-000023000000}"/>
    <cellStyle name="Заголовок 1" xfId="37" builtinId="16" customBuiltin="1"/>
    <cellStyle name="Заголовок 1 2" xfId="38" xr:uid="{00000000-0005-0000-0000-000025000000}"/>
    <cellStyle name="Заголовок 2" xfId="39" builtinId="17" customBuiltin="1"/>
    <cellStyle name="Заголовок 2 2" xfId="40" xr:uid="{00000000-0005-0000-0000-000027000000}"/>
    <cellStyle name="Заголовок 3" xfId="41" builtinId="18" customBuiltin="1"/>
    <cellStyle name="Заголовок 3 2" xfId="42" xr:uid="{00000000-0005-0000-0000-000029000000}"/>
    <cellStyle name="Заголовок 4" xfId="43" builtinId="19" customBuiltin="1"/>
    <cellStyle name="Заголовок 4 2" xfId="44" xr:uid="{00000000-0005-0000-0000-00002B000000}"/>
    <cellStyle name="Итог" xfId="45" builtinId="25" customBuiltin="1"/>
    <cellStyle name="Итог 2" xfId="46" xr:uid="{00000000-0005-0000-0000-00002D000000}"/>
    <cellStyle name="Контрольная ячейка" xfId="47" builtinId="23" customBuiltin="1"/>
    <cellStyle name="Контрольная ячейка 2" xfId="48" xr:uid="{00000000-0005-0000-0000-00002F000000}"/>
    <cellStyle name="Название" xfId="49" builtinId="15" customBuiltin="1"/>
    <cellStyle name="Название 2" xfId="50" xr:uid="{00000000-0005-0000-0000-000031000000}"/>
    <cellStyle name="Нейтральный" xfId="51" builtinId="28" customBuiltin="1"/>
    <cellStyle name="Нейтральный 2" xfId="52" xr:uid="{00000000-0005-0000-0000-000033000000}"/>
    <cellStyle name="Обычный" xfId="0" builtinId="0"/>
    <cellStyle name="Обычный 2" xfId="53" xr:uid="{00000000-0005-0000-0000-000035000000}"/>
    <cellStyle name="Обычный 2 2 2" xfId="81" xr:uid="{00000000-0005-0000-0000-000036000000}"/>
    <cellStyle name="Обычный 3" xfId="54" xr:uid="{00000000-0005-0000-0000-000037000000}"/>
    <cellStyle name="Обычный 3 2" xfId="75" xr:uid="{00000000-0005-0000-0000-000038000000}"/>
    <cellStyle name="Обычный 4" xfId="55" xr:uid="{00000000-0005-0000-0000-000039000000}"/>
    <cellStyle name="Обычный 4 10" xfId="95" xr:uid="{00000000-0005-0000-0000-00003A000000}"/>
    <cellStyle name="Обычный 4 2" xfId="76" xr:uid="{00000000-0005-0000-0000-00003B000000}"/>
    <cellStyle name="Обычный 4 2 2" xfId="85" xr:uid="{00000000-0005-0000-0000-00003C000000}"/>
    <cellStyle name="Обычный 4 2 2 2" xfId="79" xr:uid="{00000000-0005-0000-0000-00003D000000}"/>
    <cellStyle name="Обычный 4 2 2 2 2" xfId="86" xr:uid="{00000000-0005-0000-0000-00003E000000}"/>
    <cellStyle name="Обычный 4 2 2 2 2 2" xfId="94" xr:uid="{00000000-0005-0000-0000-00003F000000}"/>
    <cellStyle name="Обычный 4 2 2 2 3" xfId="89" xr:uid="{00000000-0005-0000-0000-000040000000}"/>
    <cellStyle name="Обычный 4 2 2 3" xfId="93" xr:uid="{00000000-0005-0000-0000-000041000000}"/>
    <cellStyle name="Обычный 4 2 3" xfId="88" xr:uid="{00000000-0005-0000-0000-000042000000}"/>
    <cellStyle name="Обычный 4 3" xfId="82" xr:uid="{00000000-0005-0000-0000-000043000000}"/>
    <cellStyle name="Обычный 4 3 2" xfId="90" xr:uid="{00000000-0005-0000-0000-000044000000}"/>
    <cellStyle name="Обычный 4 4" xfId="87" xr:uid="{00000000-0005-0000-0000-000045000000}"/>
    <cellStyle name="Обычный_01 Расчет корректир 4 марта09" xfId="56" xr:uid="{00000000-0005-0000-0000-000046000000}"/>
    <cellStyle name="Обычный_к договору 2005_272-д" xfId="57" xr:uid="{00000000-0005-0000-0000-000047000000}"/>
    <cellStyle name="Обычный_Кабель на складе" xfId="80" xr:uid="{00000000-0005-0000-0000-000048000000}"/>
    <cellStyle name="Обычный_РВС-2000_12.10.11_Сети" xfId="58" xr:uid="{00000000-0005-0000-0000-000049000000}"/>
    <cellStyle name="Обычный_Уточн стоим 2" xfId="59" xr:uid="{00000000-0005-0000-0000-00004A000000}"/>
    <cellStyle name="Плохой" xfId="60" builtinId="27" customBuiltin="1"/>
    <cellStyle name="Плохой 2" xfId="61" xr:uid="{00000000-0005-0000-0000-00004C000000}"/>
    <cellStyle name="Пояснение" xfId="62" builtinId="53" customBuiltin="1"/>
    <cellStyle name="Пояснение 2" xfId="63" xr:uid="{00000000-0005-0000-0000-00004E000000}"/>
    <cellStyle name="Примечание" xfId="64" builtinId="10" customBuiltin="1"/>
    <cellStyle name="Примечание 2" xfId="65" xr:uid="{00000000-0005-0000-0000-000050000000}"/>
    <cellStyle name="Связанная ячейка" xfId="66" builtinId="24" customBuiltin="1"/>
    <cellStyle name="Связанная ячейка 2" xfId="67" xr:uid="{00000000-0005-0000-0000-000052000000}"/>
    <cellStyle name="Стиль 1" xfId="68" xr:uid="{00000000-0005-0000-0000-000053000000}"/>
    <cellStyle name="Текст предупреждения" xfId="69" builtinId="11" customBuiltin="1"/>
    <cellStyle name="Текст предупреждения 2" xfId="70" xr:uid="{00000000-0005-0000-0000-000055000000}"/>
    <cellStyle name="Финансовый" xfId="71" builtinId="3"/>
    <cellStyle name="Финансовый 2" xfId="72" xr:uid="{00000000-0005-0000-0000-000057000000}"/>
    <cellStyle name="Финансовый 2 2" xfId="78" xr:uid="{00000000-0005-0000-0000-000058000000}"/>
    <cellStyle name="Финансовый 2 3" xfId="84" xr:uid="{00000000-0005-0000-0000-000059000000}"/>
    <cellStyle name="Финансовый 2 3 2" xfId="92" xr:uid="{00000000-0005-0000-0000-00005A000000}"/>
    <cellStyle name="Финансовый 3" xfId="77" xr:uid="{00000000-0005-0000-0000-00005B000000}"/>
    <cellStyle name="Финансовый 4" xfId="83" xr:uid="{00000000-0005-0000-0000-00005C000000}"/>
    <cellStyle name="Финансовый 4 2" xfId="91" xr:uid="{00000000-0005-0000-0000-00005D000000}"/>
    <cellStyle name="Хороший" xfId="73" builtinId="26" customBuiltin="1"/>
    <cellStyle name="Хороший 2" xfId="74" xr:uid="{00000000-0005-0000-0000-00005F000000}"/>
  </cellStyles>
  <dxfs count="77">
    <dxf>
      <numFmt numFmtId="168" formatCode="_(* #,##0_);_(* \(#,##0\);_(* &quot;-&quot;??_);_(@_)"/>
    </dxf>
    <dxf>
      <fill>
        <patternFill patternType="solid">
          <bgColor indexed="43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numFmt numFmtId="166" formatCode="_(* #,##0.00_);_(* \(#,##0.00\);_(* &quot;-&quot;??_);_(@_)"/>
    </dxf>
    <dxf>
      <numFmt numFmtId="166" formatCode="_(* #,##0.00_);_(* \(#,##0.00\);_(* &quot;-&quot;??_);_(@_)"/>
    </dxf>
    <dxf>
      <alignment vertical="top" readingOrder="0"/>
    </dxf>
    <dxf>
      <alignment wrapText="1" readingOrder="0"/>
    </dxf>
    <dxf>
      <font>
        <sz val="12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horizontal="center" readingOrder="0"/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26"/>
        </patternFill>
      </fill>
    </dxf>
    <dxf>
      <numFmt numFmtId="168" formatCode="_(* #,##0_);_(* \(#,##0\);_(* &quot;-&quot;??_);_(@_)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fill>
        <patternFill patternType="solid">
          <bgColor indexed="43"/>
        </patternFill>
      </fill>
    </dxf>
    <dxf>
      <font>
        <b/>
      </font>
    </dxf>
    <dxf>
      <font>
        <b/>
      </font>
    </dxf>
    <dxf>
      <font>
        <b/>
      </font>
    </dxf>
    <dxf>
      <numFmt numFmtId="169" formatCode=";;;"/>
    </dxf>
    <dxf>
      <font>
        <b/>
      </font>
    </dxf>
    <dxf>
      <font>
        <b/>
      </font>
    </dxf>
    <dxf>
      <fill>
        <patternFill patternType="solid">
          <bgColor indexed="43"/>
        </patternFill>
      </fill>
    </dxf>
    <dxf>
      <alignment vertical="top" readingOrder="0"/>
    </dxf>
    <dxf>
      <alignment wrapText="1" readingOrder="0"/>
    </dxf>
    <dxf>
      <font>
        <sz val="8"/>
      </font>
    </dxf>
    <dxf>
      <font>
        <b/>
      </font>
    </dxf>
    <dxf>
      <alignment vertical="center" readingOrder="0"/>
    </dxf>
    <dxf>
      <alignment horizontal="center" readingOrder="0"/>
    </dxf>
    <dxf>
      <border>
        <right style="thin">
          <color indexed="64"/>
        </right>
      </border>
    </dxf>
    <dxf>
      <alignment wrapText="1" readingOrder="0"/>
    </dxf>
    <dxf>
      <numFmt numFmtId="166" formatCode="_(* #,##0.00_);_(* \(#,##0.00\);_(* &quot;-&quot;??_);_(@_)"/>
    </dxf>
    <dxf>
      <font>
        <sz val="12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indexed="43"/>
        </patternFill>
      </fill>
    </dxf>
    <dxf>
      <alignment vertical="top" readingOrder="0"/>
    </dxf>
    <dxf>
      <alignment wrapText="1" readingOrder="0"/>
    </dxf>
    <dxf>
      <font>
        <sz val="8"/>
      </font>
    </dxf>
  </dxfs>
  <tableStyles count="0" defaultTableStyle="TableStyleMedium2" defaultPivotStyle="PivotStyleLight16"/>
  <colors>
    <mruColors>
      <color rgb="FFCC00CC"/>
      <color rgb="FFFF99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Лебедев" refreshedDate="40764.584882754629" createdVersion="1" refreshedVersion="2" recordCount="127" upgradeOnRefresh="1" xr:uid="{00000000-000A-0000-FFFF-FFFF6B000000}">
  <cacheSource type="worksheet">
    <worksheetSource ref="A3:I130" sheet="Оборуд"/>
  </cacheSource>
  <cacheFields count="9">
    <cacheField name="№" numFmtId="0">
      <sharedItems containsSemiMixedTypes="0" containsString="0" containsNumber="1" containsInteger="1"/>
    </cacheField>
    <cacheField name="код" numFmtId="0">
      <sharedItems count="127">
        <s v="об.1"/>
        <s v="об.2"/>
        <s v="об.3"/>
        <s v="об.4"/>
        <s v="об.5"/>
        <s v="об.6"/>
        <s v="об.7"/>
        <s v="об.8"/>
        <s v="об.9"/>
        <s v="об.10"/>
        <s v="об.11"/>
        <s v="об.12"/>
        <s v="об.13"/>
        <s v="об.14"/>
        <s v="об.15"/>
        <s v="об.16"/>
        <s v="об.17"/>
        <s v="об.18"/>
        <s v="об.19"/>
        <s v="об.20"/>
        <s v="об.21"/>
        <s v="об.22"/>
        <s v="об.23"/>
        <s v="об.24"/>
        <s v="об.25"/>
        <s v="об.26"/>
        <s v="об.27"/>
        <s v="об.28"/>
        <s v="об.29"/>
        <s v="об.30"/>
        <s v="об.31"/>
        <s v="об.32"/>
        <s v="об.33"/>
        <s v="об.34"/>
        <s v="об.35"/>
        <s v="об.36"/>
        <s v="об.37"/>
        <s v="об.38"/>
        <s v="об.39"/>
        <s v="об.40"/>
        <s v="об.41"/>
        <s v="об.42"/>
        <s v="об.43"/>
        <s v="об.44"/>
        <s v="об.45"/>
        <s v="об.46"/>
        <s v="об.47"/>
        <s v="об.48"/>
        <s v="об.49"/>
        <s v="об.50"/>
        <s v="об.51"/>
        <s v="об.52"/>
        <s v="об.53"/>
        <s v="об.54"/>
        <s v="об.55"/>
        <s v="об.56"/>
        <s v="об.57"/>
        <s v="об.58"/>
        <s v="об.59"/>
        <s v="об.60"/>
        <s v="об.61"/>
        <s v="об.62"/>
        <s v="об.63"/>
        <s v="об.64"/>
        <s v="об.65"/>
        <s v="об.66"/>
        <s v="об.67"/>
        <s v="об.68"/>
        <s v="об.69"/>
        <s v="об.70"/>
        <s v="об.71"/>
        <s v="об.72"/>
        <s v="об.73"/>
        <s v="об.74"/>
        <s v="об.75"/>
        <s v="об.76"/>
        <s v="об.77"/>
        <s v="об.78"/>
        <s v="об.79"/>
        <s v="об.80"/>
        <s v="об.81"/>
        <s v="об.82"/>
        <s v="об.83"/>
        <s v="об.84"/>
        <s v="об.85"/>
        <s v="об.86"/>
        <s v="об.87"/>
        <s v="об.88"/>
        <s v="об.89"/>
        <s v="об.90"/>
        <s v="об.91"/>
        <s v="об.92"/>
        <s v="об.93"/>
        <s v="об.94"/>
        <s v="об.95"/>
        <s v="об.96"/>
        <s v="об.97"/>
        <s v="об.98"/>
        <s v="об.99"/>
        <s v="об.100"/>
        <s v="об.101"/>
        <s v="об.102"/>
        <s v="об.103"/>
        <s v="об.104"/>
        <s v="об.105"/>
        <s v="об.106"/>
        <s v="об.107"/>
        <s v="об.108"/>
        <s v="об.109"/>
        <s v="об.110"/>
        <s v="об.111"/>
        <s v="об.112"/>
        <s v="об.113"/>
        <s v="об.114"/>
        <s v="об.115"/>
        <s v="об.116"/>
        <s v="об.117"/>
        <s v="об.118"/>
        <s v="об.119"/>
        <s v="об.120"/>
        <s v="об.121"/>
        <s v="об.122"/>
        <s v="об.123"/>
        <s v="об.124"/>
        <s v="об.125"/>
        <s v="об.126"/>
        <s v="об.127"/>
      </sharedItems>
    </cacheField>
    <cacheField name="Строка" numFmtId="0">
      <sharedItems containsString="0"/>
    </cacheField>
    <cacheField name="Наименование" numFmtId="0">
      <sharedItems count="99">
        <s v="Стоимость конденсатосборника V-8м3 (ЕП 8-2000-1300-3), с насосом центробежным полупогружным НВ-Д 50/50, с глубинным погружением L-3000мм, Q-50м3/ч, Н-50м, с электродвигателем N-22кВт"/>
        <s v="Стоимость сбора конденсата подземная горизонтальная V-63м3 (ЕП 63-3000-1000-3), с насосом центрбежным погружными НВ-Д 50/50, с глубиной погружения L-3700мм, Q-50м3/ч, Н-50м, с электродвигателем N-22кВт"/>
        <s v="Блок-бокс для хранения пожарного инвентаря"/>
        <s v="Пенообразователь АFFF"/>
        <s v="Огнетушитель переносной воздушно-пенный ОВП(с)-10(з)"/>
        <s v="Огнетушитель переносной порошковый ОП-5(з)"/>
        <s v="Стоимость резервуара горизонтального стального цилиндрического есмкостью 100м3 в северном исполнении в комплекте с оборудованием (РГСН100-09Г2С-1)"/>
        <s v="Клапан обратный поворотный, из стали 09Г2С , с ответными фланцами и кркпежными изделиями ПТ4451-300-05 Ду 300мм,РуКлапан обратный поворотный, из стали 09Г2С , с ответными фланцами и кркпежными изделиями ПТ4451-300-05 Ду 300мм,Ру"/>
        <s v="Стационарное отсечное устройство под приварку СОУ 300х16-СвШп, Ду-300мм,Ру-1,6МПа"/>
        <s v="Кран шаровой фланцевый с электроприводом АUМА во взрывозащищенном испонении, с ответными фланцами и крепежными изделиями Ду 200мм, Ру1,6МПа"/>
        <s v="Кран шаровой фланцевый с электроприводом АUМА во взрывозащищенном испонении, с ответными фланцами и крепежными изделиями Ду 300мм, Ру1,6МПа"/>
        <s v="Кран шаровой фланцевый, с ручным управлением, с ответными фланцами и крепежными изделиями Ду 300мм,Ру"/>
        <s v="Шкаф утепленный (600х600х1400)"/>
        <s v="Задвижка клиновая с выдвижным шпинделем фланцевая из стали 20ГЛ с электроприводом АUМА SА 10.1/SАЕС 10.1, с ответными фланцами и крепежными изделиями ЗКЛП 100-16 ХЛ1(30лс915нж1) Ду 100мм, Ру1,6МПа"/>
        <s v="Головка соединительная всасывающая муфтовая Ду-125мм Ру-0,1МПа (ГМВ-125УХЛ)"/>
        <s v="Головка-заглушка соединительная всасывающая Ду-125мм Ру-0,1МПа (ГЗВ-125УХЛ)"/>
        <s v="Головка соединительная напорная муфтовая Ду-80мм, Ру-1,6МПа (ГМ-80УХЛ)"/>
        <s v="Головка-заглушка Ду-80мм, Ру-0,1МПа (ГЗ-80УХЛ)"/>
        <s v="Флюоресцентный указатель размером 300х300"/>
        <s v="Флюоресцентный указатель размером 550х700"/>
        <s v="Шкаф управления системой обогрева ЩТ1"/>
        <s v="Комплектная трансформаторная подстанция в блочно-модульном исполнении 2КТПП-БМ-630/6/0,4-У3 с трансформаторами ТМГФ-630 кВА"/>
        <s v="Конденсаторная установка КРМ-0,4-100-10-62-УХЛ4"/>
        <s v="Металлоконструкции щита заводского изготовления, однорядного, шкафного исполнения Щ1"/>
        <s v="Блок управления БММ9330-3074"/>
        <s v="Блок управления БМП5132-3774"/>
        <s v="Блок управления БММ8503Р-4470Б"/>
        <s v="Блок управления БММ8503Р-3870Г"/>
        <s v="Блок управления БММ8503Р-3870В"/>
        <s v="Блок управления БМ9515"/>
        <s v="Блок управления БМ9513А"/>
        <s v="Устройство заземления автоцистерн ВУУК-У3А-3В ХЛ1"/>
        <s v="Реле фотоэлектронное РФС11М"/>
        <s v="Пост управления кнопочный взрывозащищенный (2ЕХdIIСТ6) ПВК-25ХЛ1"/>
        <s v="Термометр биметаллический общепромышленный ТБ-1(0-100)-1,5-160-10-М20"/>
        <s v="Термопреобразователь ТСМУ Метран-274-02-ЕХiА-160"/>
        <s v="Термопреобразователь ТСМУ Метран-274-02-ЕХiА-250"/>
        <s v="Термопреобразователь ТСМУ Метран-274-02-ЕХiА-60"/>
        <s v="Датчик температуры накладной для измерения температуры поверхности трубопроводов КДТ-200.1"/>
        <s v="Манометр показывающий МП4-У"/>
        <s v="Манометр показывающий сигнализирующий во взрывозащищенном исполнении ДМ2005Сr1ЕХ"/>
        <s v="Датчик давления тензорезистивный РМР51-90Н7/101 в комплекте: преобразователь давления СЕrАВАr М РМР51, 2-х вентильныЙ блок 2052СDАDАВАА, переходник С0520/34/01"/>
        <s v="Преобразователь магнитный поплавковый ПМП-152-W5-В-1655-НР"/>
        <s v="Преобразователь магнитный поплавковый ПМП-152-2W5-Н-В-3140-1855-НР"/>
        <s v="Преобразователь магнитный поплавковый ПМП-152-W5-В-1220-НР"/>
        <s v="Преобразователь магнитный поплавковый ПМП-152-2W5-Н-В-3700-1420-НР"/>
        <s v="Ротаметр Н250/М9"/>
        <s v="Датчик расхода ДРГ.МЗЛ-100"/>
        <s v="Датчик расхода конденсатоустойчивый ДРГ.М-2500 в комплекте: датчик давления АИР-20, датчик температуры ТСПУ, КМЧ"/>
        <s v="Датчик расхода ДРГ.М-160 конденсатоустойчивый в комплекте: датчик давления АИР-20, датчик температуры ТСПУ, КМЧ"/>
        <s v="Датчик расхода ДРС-25Г в комплекте с блоком преобразования измерительным БПИ.01.1 и КМЧ"/>
        <s v="Детектор горючих газов SЕnsЕРОinТ (в комплекте с контроллером СГМ-110, модулем архивирования и программирования МАП-СГМ-110/D)"/>
        <s v="Обогреватель ОУР-ПЛ-1"/>
        <s v="Пост управления кнопочный взрывозащищенный ВУУК-1КН"/>
        <s v="Шкаф Риттал (800х2200х600 мм) арт.№ ТS 8826.500"/>
        <s v="Процессор СОnТrОlLОgiХ 1756-L63"/>
        <s v="Шасси на 10 слотов 1756-А10"/>
        <s v="Шасси на 7 слотов 1756-А7"/>
        <s v="Источник питания панелей контроллера 1756-РА75/В"/>
        <s v="Модуль связи ЕТНЕrNЕТ/IР 1756-ЕNВТ"/>
        <s v="Модуль связи СОnТrОlNЕТ 1756-СNВR"/>
        <s v="Модуль аналоговых входных сигналов 1756-IF16"/>
        <s v="Модуль дискретных входов 10-30V пост. тока 1756-IВ32"/>
        <s v="Модуль дискретных входов 159-265V перем. тока 1756-IМ161"/>
        <s v="Модуль дискретных выходов 220V перем. тока 1756-ОХ81"/>
        <s v="Модуль связи по протоколу МОdВus"/>
        <s v="Модуль-заглушка 1756-N2"/>
        <s v="Карта памяти 64 МВ 1784-СF64"/>
        <s v="Колодка клеммная на 36 винтовых клемм 1756-ТВСН"/>
        <s v="Т-ответвитель прямой 1786-ТRS"/>
        <s v="Терминатор сегмента оконечный 1786-ХТ"/>
        <s v="Модуль дискретных выходов 24 V пост. тока 1756-ОВ16D"/>
        <s v="Сетевой шкаф RiТТАl Арт.№ ТЕ 4000.850"/>
        <s v="Блок вентиляторов с 2-мя вентиляторами и термостатом Арт. № ТЕ 7000.670"/>
        <s v="Приборная полка для тяжелого оборудования Атр. № 7063.897"/>
        <s v="Монтажный комплект с изменяемой глубиной Арт. № 7063.890"/>
        <s v="Сервер ввода-вывода НР РrОLiАnТ DL380 G6 SЕrvЕr sЕriЕs"/>
        <s v="Коммутационный процессор СР5613 А2"/>
        <s v="Сервер-WЕВ SТrАТus fТSЕrvЕr 2600"/>
        <s v="Сервер баз данных SТrАТus fТSЕrvЕr 2600"/>
        <s v="Переключатель клавиатуры АТЕN СL1008"/>
        <s v="Коммутатор СisСО С3750G-24NS"/>
        <s v="Системный блок 19&quot; IRОВО-2000-4335"/>
        <s v="Удлинитель монитор-клавиатура АddЕr-linК-Х-usВ-А"/>
        <s v="Патч-панель РР-19-24-8Р8С-С5е-110D"/>
        <s v="Вентилятор потолдочный радиальный RiТТАl атр.№ SК 3149.007"/>
        <s v="Терморегулятор RiТТАl арт.№ SК 3110.000"/>
        <s v="Реле ЕМG 17-RЕL/КSR-W230/21-21-LС1 РНОЕniХ СОnТАСТ"/>
        <s v="Блок питания QUINТ-РS-100-24ОАС/24DС/5 РНОЕniХ СОnТАСТ"/>
        <s v="Модуль резервирования QUINТ-DIОDЕ/40 РНОЕniХ СОnТАСТ"/>
        <s v="Искробезопасный усилитель с развязкой по току РI-ЕХ-АIS-I/I"/>
        <s v="Реле РR2-RSС3-LDР-24DС/2Х21 РНОЕniХ СОnТАСТ"/>
        <s v="Источник бесперебойного питания АРС SМАrТ-UРS RТ 6000 VА RV 230 V"/>
        <s v="Модуль батарей SURТ192RVХLВР ВАТТЕrУ UniТ"/>
        <s v="Термопреобразователь ТСМУ Метран-274-02-ЕХiА-400"/>
        <s v="Преобразователь магнитный поплавковый ПМП-152-3W5-НА-Н-В-2750-630-НР"/>
        <s v="Шасси оптических конвертеров DМС-1000"/>
        <s v="Конвертер оптический DМС-1910Т"/>
        <s v="Конвертер оптический DМС-1910R"/>
      </sharedItems>
    </cacheField>
    <cacheField name="е.и." numFmtId="0">
      <sharedItems count="5">
        <s v="шт"/>
        <s v="подст."/>
        <s v="м"/>
        <s v="компл"/>
        <s v=" подст." u="1"/>
      </sharedItems>
    </cacheField>
    <cacheField name="кол." numFmtId="0">
      <sharedItems containsSemiMixedTypes="0" containsString="0" containsNumber="1" minValue="0.6" maxValue="45" count="11">
        <n v="1"/>
        <n v="2"/>
        <n v="3"/>
        <n v="6"/>
        <n v="0.6"/>
        <n v="30"/>
        <n v="5"/>
        <n v="4"/>
        <n v="26"/>
        <n v="10"/>
        <n v="45"/>
      </sharedItems>
    </cacheField>
    <cacheField name="цена за е.и." numFmtId="0">
      <sharedItems containsSemiMixedTypes="0" containsString="0" containsNumber="1" minValue="238.56" maxValue="6442544.6399999997" count="110">
        <n v="729533.28"/>
        <n v="1122547.44"/>
        <n v="1371888"/>
        <n v="54936"/>
        <n v="981.12"/>
        <n v="430.08"/>
        <n v="1257624.48"/>
        <n v="136031.46547199998"/>
        <n v="3743.0268959999994"/>
        <n v="345795.82631999999"/>
        <n v="731508.98620799999"/>
        <n v="578250.85219999996"/>
        <n v="50475.438215999995"/>
        <n v="71319.360000000001"/>
        <n v="238.56"/>
        <n v="285.60000000000002"/>
        <n v="323.86367999999999"/>
        <n v="356.98823999999996"/>
        <n v="242.30807999999999"/>
        <n v="284.85071999999997"/>
        <n v="257.10551999999996"/>
        <n v="514.21103999999991"/>
        <n v="173244.96"/>
        <n v="3043593.4845889988"/>
        <n v="142058.09220231429"/>
        <n v="3760.2270470513004"/>
        <n v="2263.4376399726275"/>
        <n v="4754.4359458994913"/>
        <n v="13284.918664290954"/>
        <n v="7969.4909162262011"/>
        <n v="3661.6579885363635"/>
        <n v="3319.7085386265203"/>
        <n v="10964.89508331901"/>
        <n v="1073.3075260515361"/>
        <n v="2426.5025022072145"/>
        <n v="907.2"/>
        <n v="2997.12"/>
        <n v="4105.92"/>
        <n v="2657.76"/>
        <n v="1281.3920000000001"/>
        <n v="1069.152"/>
        <n v="11863.04"/>
        <n v="45363.360000000001"/>
        <n v="5994.24"/>
        <n v="6488.16"/>
        <n v="5995.92"/>
        <n v="6489.84"/>
        <n v="100739.52"/>
        <n v="142679.04000000001"/>
        <n v="107923.2"/>
        <n v="75361.440000000002"/>
        <n v="83287.679999999993"/>
        <n v="62583.360000000001"/>
        <n v="3419.7046153846159"/>
        <n v="2536.8000000000002"/>
        <n v="31069.919999999998"/>
        <n v="464536.8"/>
        <n v="24682.560000000001"/>
        <n v="20116.32"/>
        <n v="43248.24"/>
        <n v="80045.279999999999"/>
        <n v="83070.960000000006"/>
        <n v="6442543.9680000003"/>
        <n v="17053.68"/>
        <n v="21621.599999999999"/>
        <n v="16151.52"/>
        <n v="15456"/>
        <n v="850.08"/>
        <n v="7465.92"/>
        <n v="810.76800000000003"/>
        <n v="3091.2"/>
        <n v="3477.6"/>
        <n v="232239.84"/>
        <n v="43249.919999999998"/>
        <n v="83069.279999999999"/>
        <n v="6442544.6399999997"/>
        <n v="546860.16"/>
        <n v="810.43200000000002"/>
        <n v="61333.440000000002"/>
        <n v="7620.48"/>
        <n v="4782.3999999999996"/>
        <n v="5477.92"/>
        <n v="289803.36"/>
        <n v="128761.92"/>
        <n v="362251.68"/>
        <n v="351385.44"/>
        <n v="31170.720000000001"/>
        <n v="91294.56"/>
        <n v="4782.96"/>
        <n v="5479.04"/>
        <n v="1463.28"/>
        <n v="19787.04"/>
        <n v="1145.76"/>
        <n v="13836.48"/>
        <n v="1236.48"/>
        <n v="2620.8000000000002"/>
        <n v="9024.9599999999991"/>
        <n v="7328.16"/>
        <n v="6520.565333333333"/>
        <n v="557.76"/>
        <n v="11888.8"/>
        <n v="120956.64"/>
        <n v="38614.800000000003"/>
        <n v="38347.68"/>
        <n v="3018.7508164800001"/>
        <n v="1282.1377396800001"/>
        <n v="7227.4337973600004"/>
        <n v="11675.994220799999"/>
        <n v="13545.631270079999"/>
        <n v="8583.3337262399982"/>
      </sharedItems>
    </cacheField>
    <cacheField name="цена всего" numFmtId="0">
      <sharedItems containsSemiMixedTypes="0" containsString="0" containsNumber="1"/>
    </cacheField>
    <cacheField name="встречается, раз▼" numFmtId="0">
      <sharedItems containsSemiMixedTypes="0" containsString="0" containsNumber="1" containsInteger="1" minValue="1" maxValue="4" count="3">
        <n v="1"/>
        <n v="2"/>
        <n v="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Лебедев" refreshedDate="40766.708468287034" createdVersion="1" refreshedVersion="2" recordCount="956" upgradeOnRefresh="1" xr:uid="{00000000-000A-0000-FFFF-FFFF6C000000}">
  <cacheSource type="worksheet">
    <worksheetSource ref="B15:P964" sheet="ССР"/>
  </cacheSource>
  <cacheFields count="15">
    <cacheField name="1" numFmtId="0">
      <sharedItems containsString="0"/>
    </cacheField>
    <cacheField name="2" numFmtId="0">
      <sharedItems containsBlank="1" count="873">
        <m/>
        <s v="1."/>
        <s v="1.1."/>
        <s v="1.1.1."/>
        <s v="1.1.2."/>
        <s v="1.1.3."/>
        <s v="1.1.4."/>
        <s v="1.1.5."/>
        <s v="1.1.6."/>
        <s v="1.1.7."/>
        <s v="1.1.8."/>
        <s v="1.1.9."/>
        <s v="1.1.10."/>
        <s v="1.1.11."/>
        <s v="1.1.12."/>
        <s v="1.2."/>
        <s v="1.2.1."/>
        <s v="1.2.2."/>
        <s v="1.2.3."/>
        <s v="1.2.4."/>
        <s v="1.2.5."/>
        <s v="1.2.6."/>
        <s v="1.2.7."/>
        <s v="1.2.8."/>
        <s v="1.2.9."/>
        <s v="1.2.10."/>
        <s v="1.2.11."/>
        <s v="1.2.12."/>
        <s v="1.2.13."/>
        <s v="1.2.14."/>
        <s v="1.2.15."/>
        <s v="1.3."/>
        <s v="1.3.1."/>
        <s v="1.3.2."/>
        <s v="1.3.3."/>
        <s v="1.3.4."/>
        <s v="1.3.5."/>
        <s v="2."/>
        <s v="3."/>
        <s v="3.1."/>
        <s v="3.2."/>
        <s v="3.3."/>
        <s v="3.4."/>
        <s v="3.5."/>
        <s v="3.6."/>
        <s v="3.7."/>
        <s v="3.8."/>
        <s v="3.9."/>
        <s v="3.10."/>
        <s v="3.11."/>
        <s v="3.12."/>
        <s v="3.13."/>
        <s v="3.14."/>
        <s v="4."/>
        <s v="5."/>
        <s v="5.1."/>
        <s v="5.2."/>
        <s v="5.3."/>
        <s v="5.4."/>
        <s v="5.5."/>
        <s v="5.6."/>
        <s v="5.7."/>
        <s v="5.8."/>
        <s v="5.9."/>
        <s v="5.10."/>
        <s v="5.11."/>
        <s v="5.12."/>
        <s v="6."/>
        <s v="7."/>
        <s v="7.1."/>
        <s v="7.1.1."/>
        <s v="7.1.2."/>
        <s v="7.1.3."/>
        <s v="7.1.4."/>
        <s v="7.1.5."/>
        <s v="7.1.6."/>
        <s v="7.1.7."/>
        <s v="7.1.8."/>
        <s v="7.1.9."/>
        <s v="7.1.10."/>
        <s v="7.1.11."/>
        <s v="7.1.12."/>
        <s v="7.1.13."/>
        <s v="7.1.14."/>
        <s v="7.1.15."/>
        <s v="7.2."/>
        <s v="7.2.1."/>
        <s v="7.2.2."/>
        <s v="7.2.3."/>
        <s v="7.2.4."/>
        <s v="7.2.5."/>
        <s v="7.2.6."/>
        <s v="7.2.7."/>
        <s v="7.2.8."/>
        <s v="7.2.9."/>
        <s v="7.2.10."/>
        <s v="7.2.11."/>
        <s v="7.2.12."/>
        <s v="7.2.13."/>
        <s v="7.2.14."/>
        <s v="7.2.15."/>
        <s v="7.2.16."/>
        <s v="7.2.17."/>
        <s v="7.2.18."/>
        <s v="7.3."/>
        <s v="7.4."/>
        <s v="7.4.1."/>
        <s v="7.4.2."/>
        <s v="7.4.3."/>
        <s v="7.4.4."/>
        <s v="7.4.5."/>
        <s v="7.4.6."/>
        <s v="7.5."/>
        <s v="7.5.1."/>
        <s v="7.5.2."/>
        <s v="7.5.3."/>
        <s v="7.5.4."/>
        <s v="7.5.5."/>
        <s v="8."/>
        <s v="об.1"/>
        <s v="8.1."/>
        <s v="8.1.1."/>
        <s v="8.1.2."/>
        <s v="8.2."/>
        <s v="8.2.1."/>
        <s v="9."/>
        <s v="об.2"/>
        <s v="9.1."/>
        <s v="9.1.1."/>
        <s v="9.1.2."/>
        <s v="9.2."/>
        <s v="9.2.1."/>
        <s v="10."/>
        <s v="10.1."/>
        <s v="10.2."/>
        <s v="10.3."/>
        <s v="10.4."/>
        <s v="10.5."/>
        <s v="10.6."/>
        <s v="10.7."/>
        <s v="10.8."/>
        <s v="10.9."/>
        <s v="10.10."/>
        <s v="10.11."/>
        <s v="10.12."/>
        <s v="10.13."/>
        <s v="10.14."/>
        <s v="11."/>
        <s v="11.1."/>
        <s v="11.2."/>
        <s v="11.3."/>
        <s v="11.4."/>
        <s v="11.5."/>
        <s v="11.6."/>
        <s v="12."/>
        <s v="12.1."/>
        <s v="12.1.1."/>
        <s v="12.1.2."/>
        <s v="12.1.3."/>
        <s v="12.1.4."/>
        <s v="12.1.5."/>
        <s v="12.1.6."/>
        <s v="12.1.7."/>
        <s v="12.2."/>
        <s v="12.2.1."/>
        <s v="12.2.2."/>
        <s v="12.2.3."/>
        <s v="12.2.4."/>
        <s v="12.2.5."/>
        <s v="12.2.6."/>
        <s v="12.2.7."/>
        <s v="12.2.8."/>
        <s v="12.2.9."/>
        <s v="12.2.10."/>
        <s v="12.2.11."/>
        <s v="12.2.12."/>
        <s v="13."/>
        <s v="13.1."/>
        <s v="13.2."/>
        <s v="13.3."/>
        <s v="13.4."/>
        <s v="13.5."/>
        <s v="13.6."/>
        <s v="13.7."/>
        <s v="13.8."/>
        <s v="13.9."/>
        <s v="13.10."/>
        <s v="13.11."/>
        <s v="13.12."/>
        <s v="13.13."/>
        <s v="13.14."/>
        <s v="13.15."/>
        <s v="13.16."/>
        <s v="14."/>
        <s v="об.3"/>
        <s v="об.4"/>
        <s v="об.5"/>
        <s v="об.6"/>
        <s v="14.1."/>
        <s v="14.1.1."/>
        <s v="14.2."/>
        <s v="15."/>
        <s v="15.1."/>
        <s v="15.2."/>
        <s v="15.3."/>
        <s v="15.4."/>
        <s v="15.5."/>
        <s v="15.6."/>
        <s v="15.7."/>
        <s v="15.8."/>
        <s v="15.9."/>
        <s v="15.10."/>
        <s v="15.11."/>
        <s v="16."/>
        <s v="об.7"/>
        <s v="16.1."/>
        <s v="16.1.1."/>
        <s v="16.2."/>
        <s v="16.3."/>
        <s v="16.4."/>
        <s v="16.5."/>
        <s v="16.6."/>
        <s v="16.7."/>
        <s v="16.8."/>
        <s v="16.9."/>
        <s v="16.10."/>
        <s v="17."/>
        <s v="17.1."/>
        <s v="17.1.1."/>
        <s v="17.1.2."/>
        <s v="17.1.3."/>
        <s v="17.1.4."/>
        <s v="17.1.5."/>
        <s v="17.1.6."/>
        <s v="17.1.7."/>
        <s v="17.1.8."/>
        <s v="17.1.9."/>
        <s v="17.1.10."/>
        <s v="17.1.11."/>
        <s v="17.1.12."/>
        <s v="17.1.13."/>
        <s v="17.1.14."/>
        <s v="17.2."/>
        <s v="17.2.1."/>
        <s v="17.2.2."/>
        <s v="17.2.3."/>
        <s v="17.2.4."/>
        <s v="17.2.5."/>
        <s v="17.2.6."/>
        <s v="17.2.7."/>
        <s v="17.2.8."/>
        <s v="17.2.9."/>
        <s v="17.2.10."/>
        <s v="17.2.11."/>
        <s v="17.2.12."/>
        <s v="17.2.13."/>
        <s v="17.2.14."/>
        <s v="17.2.15."/>
        <s v="17.2.16."/>
        <s v="17.3."/>
        <s v="17.3.1."/>
        <s v="17.3.2."/>
        <s v="17.3.3."/>
        <s v="17.3.4."/>
        <s v="17.3.5."/>
        <s v="17.4."/>
        <s v="17.4.1."/>
        <s v="17.4.2."/>
        <s v="17.4.3."/>
        <s v="17.4.4."/>
        <s v="17.4.5."/>
        <s v="17.5."/>
        <s v="17.5.1."/>
        <s v="17.5.2."/>
        <s v="17.5.3."/>
        <s v="17.5.4."/>
        <s v="17.6."/>
        <s v="17.6.1."/>
        <s v="17.6.2."/>
        <s v="17.6.3."/>
        <s v="18."/>
        <s v="18.1."/>
        <s v="18.1.1."/>
        <s v="18.1.2."/>
        <s v="18.1.3."/>
        <s v="18.1.4."/>
        <s v="18.1.5."/>
        <s v="18.1.6."/>
        <s v="18.1.7."/>
        <s v="18.1.8."/>
        <s v="18.1.9."/>
        <s v="18.1.10."/>
        <s v="18.1.11."/>
        <s v="18.1.12."/>
        <s v="18.1.13."/>
        <s v="18.1.14."/>
        <s v="18.1.15."/>
        <s v="18.2."/>
        <s v="18.2.1."/>
        <s v="18.2.2."/>
        <s v="18.2.3."/>
        <s v="18.2.4."/>
        <s v="18.2.5."/>
        <s v="18.2.6."/>
        <s v="18.2.7."/>
        <s v="18.2.8."/>
        <s v="18.2.9."/>
        <s v="18.2.10."/>
        <s v="18.2.11."/>
        <s v="18.2.12."/>
        <s v="18.2.13."/>
        <s v="18.2.14."/>
        <s v="18.2.15."/>
        <s v="18.3."/>
        <s v="18.3.1."/>
        <s v="18.3.2."/>
        <s v="18.3.3."/>
        <s v="18.3.4."/>
        <s v="18.3.5."/>
        <s v="18.3.6."/>
        <s v="18.3.7."/>
        <s v="18.3.8."/>
        <s v="18.3.9."/>
        <s v="18.3.10."/>
        <s v="18.3.11."/>
        <s v="18.3.12."/>
        <s v="18.3.13."/>
        <s v="18.3.14."/>
        <s v="18.3.15."/>
        <s v="18.4."/>
        <s v="18.4.1."/>
        <s v="18.4.9."/>
        <s v="18.4.10."/>
        <s v="18.4.13."/>
        <s v="18.4.14."/>
        <s v="18.4.15."/>
        <s v="19."/>
        <s v="19.1."/>
        <s v="19.1.1."/>
        <s v="19.1.2."/>
        <s v="19.1.3."/>
        <s v="19.1.4."/>
        <s v="19.1.5."/>
        <s v="19.1.6."/>
        <s v="19.1.7."/>
        <s v="19.1.8."/>
        <s v="19.2."/>
        <s v="19.2.1."/>
        <s v="19.2.2."/>
        <s v="19.2.3."/>
        <s v="19.2.4."/>
        <s v="19.2.5."/>
        <s v="19.2.6."/>
        <s v="19.2.7."/>
        <s v="19.3."/>
        <s v="19.3.1."/>
        <s v="19.3.2."/>
        <s v="19.3.3."/>
        <s v="19.3.4."/>
        <s v="19.3.5."/>
        <s v="19.3.6."/>
        <s v="19.3.7."/>
        <s v="19.4."/>
        <s v="19.4.1."/>
        <s v="19.4.2."/>
        <s v="19.4.3."/>
        <s v="19.4.4."/>
        <s v="19.4.5."/>
        <s v="19.4.6."/>
        <s v="20."/>
        <s v="об.8"/>
        <s v="об.9"/>
        <s v="об.10"/>
        <s v="об.11"/>
        <s v="об.12"/>
        <s v="об.13"/>
        <s v="20.1."/>
        <s v="20.1.1."/>
        <s v="20.1.2."/>
        <s v="20.1.3."/>
        <s v="20.1.4."/>
        <s v="20.1.5."/>
        <s v="20.1.6."/>
        <s v="20.1.7."/>
        <s v="20.1.8."/>
        <s v="20.1.9."/>
        <s v="20.1.10."/>
        <s v="20.1.11."/>
        <s v="20.1.12."/>
        <s v="20.1.13."/>
        <s v="20.1.14."/>
        <s v="20.1.15."/>
        <s v="20.1.16."/>
        <s v="20.1.17."/>
        <s v="20.1.18."/>
        <s v="20.1.19."/>
        <s v="20.1.20."/>
        <s v="20.1.21."/>
        <s v="20.1.22."/>
        <s v="20.1.23."/>
        <s v="20.1.24."/>
        <s v="20.1.25."/>
        <s v="20.1.26."/>
        <s v="20.1.27."/>
        <s v="20.1.28."/>
        <s v="20.1.29."/>
        <s v="20.1.30."/>
        <s v="20.1.31."/>
        <s v="20.1.32."/>
        <s v="20.2."/>
        <s v="20.2.1."/>
        <s v="20.2.2."/>
        <s v="20.2.3."/>
        <s v="20.2.4."/>
        <s v="20.2.5."/>
        <s v="20.2.6."/>
        <s v="20.2.7."/>
        <s v="20.2.8."/>
        <s v="20.2.9."/>
        <s v="21."/>
        <s v="21.1."/>
        <s v="21.1.1."/>
        <s v="21.1.2."/>
        <s v="21.1.3."/>
        <s v="21.2."/>
        <s v="21.2.1."/>
        <s v="21.2.2."/>
        <s v="21.2.3."/>
        <s v="21.2.4."/>
        <s v="21.2.5."/>
        <s v="21.2.6."/>
        <s v="21.2.7."/>
        <s v="21.2.8."/>
        <s v="22."/>
        <s v="22.1."/>
        <s v="22.1.1."/>
        <s v="22.1.2."/>
        <s v="22.2."/>
        <s v="22.2.1."/>
        <s v="22.2.2."/>
        <s v="22.2.3."/>
        <s v="22.2.4."/>
        <s v="22.2.5."/>
        <s v="22.2.6."/>
        <s v="22.2.7."/>
        <s v="22.2.8."/>
        <s v="22.2.9."/>
        <s v="22.2.10."/>
        <s v="22.3."/>
        <s v="22.3.1."/>
        <s v="22.3.2."/>
        <s v="22.3.3."/>
        <s v="22.3.4."/>
        <s v="22.3.5."/>
        <s v="22.3.6."/>
        <s v="22.3.7."/>
        <s v="22.3.8."/>
        <s v="22.3.9."/>
        <s v="22.3.10."/>
        <s v="23."/>
        <s v="об.14"/>
        <s v="23.1."/>
        <s v="23.1.1."/>
        <s v="23.1.2."/>
        <s v="23.2."/>
        <s v="23.2.1."/>
        <s v="23.2.2."/>
        <s v="23.2.3."/>
        <s v="23.2.4."/>
        <s v="23.2.5."/>
        <s v="23.2.6."/>
        <s v="23.2.7."/>
        <s v="23.2.8."/>
        <s v="23.2.9."/>
        <s v="23.2.10."/>
        <s v="23.2.11."/>
        <s v="23.2.12."/>
        <s v="23.2.13."/>
        <s v="23.2.14."/>
        <s v="23.2.15."/>
        <s v="23.3."/>
        <s v="23.3.1."/>
        <s v="23.3.2."/>
        <s v="23.3.3."/>
        <s v="23.3.4."/>
        <s v="23.3.5."/>
        <s v="23.3.6."/>
        <s v="23.3.7."/>
        <s v="23.3.8."/>
        <s v="24."/>
        <s v="24.1."/>
        <s v="24.1.1."/>
        <s v="24.1.2."/>
        <s v="24.1.3."/>
        <s v="24.1.4."/>
        <s v="24.1.5."/>
        <s v="24.1.6."/>
        <s v="24.1.7."/>
        <s v="24.1.8."/>
        <s v="24.1.9."/>
        <s v="24.1.10."/>
        <s v="24.1.11."/>
        <s v="24.1.12."/>
        <s v="24.1.13."/>
        <s v="24.1.14."/>
        <s v="24.1.15."/>
        <s v="24.1.16."/>
        <s v="24.1.17."/>
        <s v="24.1.18."/>
        <s v="24.1.19."/>
        <s v="24.2."/>
        <s v="24.2.1."/>
        <s v="24.2.2."/>
        <s v="24.2.3."/>
        <s v="24.2.4."/>
        <s v="24.2.5."/>
        <s v="24.2.6."/>
        <s v="24.2.7."/>
        <s v="25."/>
        <s v="25.1."/>
        <s v="25.1.1."/>
        <s v="25.1.2."/>
        <s v="25.2."/>
        <s v="25.2.1."/>
        <s v="25.2.2."/>
        <s v="25.2.3."/>
        <s v="25.2.4."/>
        <s v="25.2.5."/>
        <s v="25.2.6."/>
        <s v="25.2.7."/>
        <s v="26."/>
        <s v="об.15"/>
        <s v="об.16"/>
        <s v="26.1."/>
        <s v="26.1.1."/>
        <s v="26.1.2."/>
        <s v="26.1.3."/>
        <s v="27."/>
        <s v="об.17"/>
        <s v="об.18"/>
        <s v="об.19"/>
        <s v="об.20"/>
        <s v="об.21"/>
        <s v="об.22"/>
        <s v="27.1."/>
        <s v="27.1.1."/>
        <s v="27.2."/>
        <s v="27.2.1."/>
        <s v="27.2.2."/>
        <s v="27.2.3."/>
        <s v="27.2.4."/>
        <s v="27.2.5."/>
        <s v="27.2.6."/>
        <s v="27.2.7."/>
        <s v="27.2.8."/>
        <s v="27.2.9."/>
        <s v="27.2.10."/>
        <s v="28."/>
        <s v="28.1."/>
        <s v="28.2."/>
        <s v="28.3."/>
        <s v="28.4."/>
        <s v="28.5."/>
        <s v="29."/>
        <s v="29.1."/>
        <s v="29.2."/>
        <s v="30."/>
        <s v="об.23"/>
        <s v="30.1."/>
        <s v="30.1.1."/>
        <s v="30.1.2."/>
        <s v="30.1.3."/>
        <s v="30.1.4."/>
        <s v="30.1.5."/>
        <s v="30.1.6."/>
        <s v="30.1.7."/>
        <s v="30.1.8."/>
        <s v="30.1.9."/>
        <s v="30.1.10."/>
        <s v="30.1.11."/>
        <s v="30.1.12."/>
        <s v="30.1.13."/>
        <s v="30.1.14."/>
        <s v="30.1.15."/>
        <s v="30.1.16."/>
        <s v="30.1.17."/>
        <s v="30.1.18."/>
        <s v="30.1.19."/>
        <s v="30.1.20."/>
        <s v="31."/>
        <s v="31.1."/>
        <s v="31.1.1."/>
        <s v="об.24"/>
        <s v="об.25"/>
        <s v="об.26"/>
        <s v="об.27"/>
        <s v="об.28"/>
        <s v="об.29"/>
        <s v="об.30"/>
        <s v="об.31"/>
        <s v="об.32"/>
        <s v="об.33"/>
        <s v="об.34"/>
        <s v="об.35"/>
        <s v="об.36"/>
        <s v="31.2."/>
        <s v="31.2.1."/>
        <s v="31.2.2."/>
        <s v="31.2.3."/>
        <s v="31.2.4."/>
        <s v="31.2.5."/>
        <s v="31.2.6."/>
        <s v="31.2.7."/>
        <s v="31.2.8."/>
        <s v="31.2.9."/>
        <s v="31.2.10."/>
        <s v="31.2.11."/>
        <s v="31.2.12."/>
        <s v="31.2.13."/>
        <s v="31.2.14."/>
        <s v="31.2.15."/>
        <s v="31.2.16."/>
        <s v="31.2.17."/>
        <s v="31.2.18."/>
        <s v="31.2.19."/>
        <s v="31.2.20."/>
        <s v="31.2.21."/>
        <s v="31.2.22."/>
        <s v="31.2.23."/>
        <s v="31.2.24."/>
        <s v="31.2.25."/>
        <s v="31.2.26."/>
        <s v="31.2.27."/>
        <s v="31.2.28."/>
        <s v="31.2.29."/>
        <s v="31.2.30."/>
        <s v="31.2.31."/>
        <s v="31.2.32."/>
        <s v="31.2.33."/>
        <s v="31.2.34."/>
        <s v="31.2.35."/>
        <s v="31.2.36."/>
        <s v="31.2.37."/>
        <s v="32."/>
        <s v="32.1."/>
        <s v="32.2."/>
        <s v="32.3."/>
        <s v="32.4."/>
        <s v="32.5."/>
        <s v="32.6."/>
        <s v="33."/>
        <s v="33.1."/>
        <s v="33.1.1."/>
        <s v="33.2."/>
        <s v="33.2.1."/>
        <s v="33.2.2."/>
        <s v="33.3."/>
        <s v="33.3.1."/>
        <s v="33.3.2."/>
        <s v="33.4."/>
        <s v="33.4.1."/>
        <s v="33.4.2."/>
        <s v="33.4.3."/>
        <s v="33.4.4."/>
        <s v="33.4.5."/>
        <s v="34."/>
        <s v="об.37"/>
        <s v="об.38"/>
        <s v="об.39"/>
        <s v="об.40"/>
        <s v="об.41"/>
        <s v="об.42"/>
        <s v="об.43"/>
        <s v="об.44"/>
        <s v="об.45"/>
        <s v="об.46"/>
        <s v="об.47"/>
        <s v="об.48"/>
        <s v="об.49"/>
        <s v="об.50"/>
        <s v="об.51"/>
        <s v="об.52"/>
        <s v="об.53"/>
        <s v="об.54"/>
        <s v="об.55"/>
        <s v="об.56"/>
        <s v="об.57"/>
        <s v="об.58"/>
        <s v="об.59"/>
        <s v="об.60"/>
        <s v="об.61"/>
        <s v="об.62"/>
        <s v="об.63"/>
        <s v="об.64"/>
        <s v="об.65"/>
        <s v="об.66"/>
        <s v="об.67"/>
        <s v="об.68"/>
        <s v="об.69"/>
        <s v="об.70"/>
        <s v="об.71"/>
        <s v="об.72"/>
        <s v="об.73"/>
        <s v="об.74"/>
        <s v="об.75"/>
        <s v="об.76"/>
        <s v="об.77"/>
        <s v="об.78"/>
        <s v="об.79"/>
        <s v="об.80"/>
        <s v="об.81"/>
        <s v="об.82"/>
        <s v="об.83"/>
        <s v="об.84"/>
        <s v="об.85"/>
        <s v="об.86"/>
        <s v="об.87"/>
        <s v="об.88"/>
        <s v="об.89"/>
        <s v="об.90"/>
        <s v="об.91"/>
        <s v="об.92"/>
        <s v="об.93"/>
        <s v="об.94"/>
        <s v="об.95"/>
        <s v="об.96"/>
        <s v="об.97"/>
        <s v="об.98"/>
        <s v="об.99"/>
        <s v="об.100"/>
        <s v="об.101"/>
        <s v="об.102"/>
        <s v="об.103"/>
        <s v="об.104"/>
        <s v="об.105"/>
        <s v="об.106"/>
        <s v="об.107"/>
        <s v="об.108"/>
        <s v="об.109"/>
        <s v="об.110"/>
        <s v="об.111"/>
        <s v="об.112"/>
        <s v="об.113"/>
        <s v="об.114"/>
        <s v="об.115"/>
        <s v="об.116"/>
        <s v="об.117"/>
        <s v="об.118"/>
        <s v="об.119"/>
        <s v="об.120"/>
        <s v="об.121"/>
        <s v="34.1."/>
        <s v="34.1.1."/>
        <s v="34.1.2."/>
        <s v="34.1.3."/>
        <s v="34.1.4."/>
        <s v="34.1.5."/>
        <s v="34.1.6."/>
        <s v="34.1.7."/>
        <s v="34.1.8."/>
        <s v="34.1.9."/>
        <s v="34.1.10."/>
        <s v="34.1.11."/>
        <s v="34.1.12."/>
        <s v="34.1.13."/>
        <s v="34.1.14."/>
        <s v="34.1.15."/>
        <s v="34.1.16."/>
        <s v="34.1.17."/>
        <s v="34.1.18."/>
        <s v="34.1.19."/>
        <s v="34.1.20."/>
        <s v="34.1.21."/>
        <s v="34.1.22."/>
        <s v="34.1.23."/>
        <s v="34.1.24."/>
        <s v="34.1.25."/>
        <s v="34.1.26."/>
        <s v="34.1.27."/>
        <s v="34.1.28."/>
        <s v="34.1.29."/>
        <s v="34.1.30."/>
        <s v="34.1.31."/>
        <s v="34.1.32."/>
        <s v="34.1.33."/>
        <s v="34.1.34."/>
        <s v="34.1.35."/>
        <s v="34.1.36."/>
        <s v="34.1.37."/>
        <s v="34.1.38."/>
        <s v="34.1.39."/>
        <s v="34.1.40."/>
        <s v="34.1.41."/>
        <s v="34.1.42."/>
        <s v="34.1.43."/>
        <s v="34.1.44."/>
        <s v="34.1.45."/>
        <s v="34.1.46."/>
        <s v="34.1.47."/>
        <s v="34.1.48."/>
        <s v="34.1.49."/>
        <s v="34.1.50."/>
        <s v="34.1.51."/>
        <s v="34.1.52."/>
        <s v="34.1.53."/>
        <s v="34.1.54."/>
        <s v="34.1.55."/>
        <s v="34.1.56."/>
        <s v="34.1.57."/>
        <s v="34.1.58."/>
        <s v="34.1.59."/>
        <s v="34.1.60."/>
        <s v="34.1.61."/>
        <s v="34.1.62."/>
        <s v="34.1.63."/>
        <s v="34.1.64."/>
        <s v="34.1.65."/>
        <s v="34.1.66."/>
        <s v="34.1.67."/>
        <s v="34.1.68."/>
        <s v="34.1.69."/>
        <s v="34.1.70."/>
        <s v="34.1.71."/>
        <s v="34.1.72."/>
        <s v="34.1.73."/>
        <s v="34.1.74."/>
        <s v="34.1.75."/>
        <s v="34.1.76."/>
        <s v="34.1.77."/>
        <s v="34.1.78."/>
        <s v="34.1.79."/>
        <s v="34.1.80."/>
        <s v="34.1.81."/>
        <s v="34.1.82."/>
        <s v="34.1.83."/>
        <s v="34.1.84."/>
        <s v="34.1.85."/>
        <s v="34.1.86."/>
        <s v="34.1.87."/>
        <s v="34.1.88."/>
        <s v="34.1.89."/>
        <s v="34.1.90."/>
        <s v="34.1.91."/>
        <s v="34.1.92."/>
        <s v="34.1.93."/>
        <s v="34.1.94."/>
        <s v="34.1.95."/>
        <s v="34.1.96."/>
        <s v="34.1.97."/>
        <s v="34.1.98."/>
        <s v="34.1.99."/>
        <s v="34.1.100."/>
        <s v="35."/>
        <s v="об.122"/>
        <s v="об.123"/>
        <s v="об.124"/>
        <s v="35.1."/>
        <s v="35.1.1."/>
        <s v="35.1.2."/>
        <s v="35.1.3."/>
        <s v="35.1.4."/>
        <s v="36."/>
        <s v="об.125"/>
        <s v="об.126"/>
        <s v="об.127"/>
        <s v="36.1."/>
        <s v="36.1.1."/>
        <s v="36.1.2."/>
        <s v="36.1.3."/>
        <s v="36.1.4."/>
        <s v="36.1.5."/>
        <s v="36.1.6."/>
        <s v="Принимаем стартовую цену на тендер, рублей без НДС"/>
      </sharedItems>
    </cacheField>
    <cacheField name="3" numFmtId="0">
      <sharedItems containsBlank="1" count="571">
        <m/>
        <s v="СТРОИТЕЛЬНЫЕ РАБОТЫ ПЛОЩАДКИ ТЕПЛООБМЕННО-СЕПАРАЦИОННЫХ БЛОКОВ (гп п.2)"/>
        <s v="УСТРОЙСТВО ОСНОВАНИЯ ПЛОЩАДКИ ТЕПЛООБМЕННО-СЕПАРАЦИОННЫХ БЛОКОВ"/>
        <s v="Погружение дизель-молотом железобетонных свай длиной до 8 м в грунты группы: 1 Сваи железобетонные С80.30-8"/>
        <s v="Вырубка бетона из арматурного каркаса железобетонных свай площадью сечения свыше 0,1 м2"/>
        <s v="Огрунтовка бетонных поверхностей свай мастикой МБР (2 слоя) со стоимотью мастики "/>
        <s v="Окраска огрунтованных бетонных поверхностей кремнийорганической эмалью КО-198 со сть-тью эмали"/>
        <s v="Монтаж оголовника ОМ1 и Изготовление оголовника в построечных условиях"/>
        <s v="Трубы стальные электросварные прямошовные и спирально-шовные больших диаметров группы А и Б с сопротивлением по разрыву 38 кгс/мм2 наружный диаметр 530х8 мм из стали 09Г2С"/>
        <s v="Отдельные конструктивные элементы зданий и сооружений с преобладанием толстолистовой стали, средняя масса сборочной единицы до 0,5 т из стали С345-1(лист 10)"/>
        <s v="Забивка бетоном В20 оголовника ОМ1 с Приготовлением тяжелого бетона на щебне класса В 20"/>
        <s v="Монтаж балок,прогонов при шаге ферм до 12 м с Изготовлением  стоек со стоимостью отдельных конструктивных элементов "/>
        <s v="Очистка  щетками, обеспыливание, обезжиривание поверхности металлоконструкций "/>
        <s v="Огрунтовка металлических поверхностей за один раз грунтовкой ГФ-021"/>
        <s v="Окраска металлических огрунтованных поверхностей эмалью ПФ-115 в два слоя"/>
        <s v="УСТРОЙСТВО НАВЕСА ПЛОЩАДКИ ТЕПЛООБМЕННО-СЕПАРАЦИОННЫХ БЛОКОВ"/>
        <s v="Погружение дизель-молотом  железобетонных свай длиной до 6 м в грунты группы: 1.Сваи железобетонные С60.30-8"/>
        <s v="Забивка бетоном В20 оголовника ОМ1 с Приготовлением тяжелого бетона тяжелого бетона на щебне класса В 15"/>
        <s v="Монтаж опорных стоек Ст1 и Прогонов при шаге ферм до 12 м с Изготовлением  стоек со стоимостью отдельных конструктивных элементов "/>
        <s v="Монтаж связей и распорок из одиночных и парных уголков, для пролетов до 24 м при высоте здания до 25 м.Связь Св1со стоимостью"/>
        <s v="Монтаж стропильных и подстропильных ферм на высоте до 25 м пролетом до 24 м массой до 3,0 т со стоимостью"/>
        <s v="Монтаж кровельного покрытия из профилированного листа при высоте здания до 25 м со стоимостью"/>
        <s v="УСТРОЙСТВО МОНОЛИТНОЙ ПЛОЩАДКИ ТЕПЛООБМЕННО-СЕПАРАЦИОННЫХ БЛОКОВ"/>
        <s v="Разработка грунта с перемещением до 10 м бульдозерами мощностью 59 (80) кВт (л.с.), 2 группа грунтов"/>
        <s v="Устройство бетонного основания с приготовлением тяжелого бетона на щебне класса В 20"/>
        <s v="Устройство гидроизоляции оклеечной рулонными материалами на резино-битумной мастикена 2 слоя со стоимосью мателиалов"/>
        <s v="Устройство монолитной железобетонной площадки ПОМ2.1 и приготовлением  тяжелого бетона на щебне класса В 15"/>
        <s v="Устройство уклона площадки в сторону колодца бетоном на мелком заполнителе с приготовление бетона на щебне класса В 15"/>
        <s v="Монтаж теплообменно-сепарационного блока на открытой площадке, масса оборудования 9,000 т"/>
        <s v="СТРОИТЕЛЬНЫЕ РАБОТЫ ОСНОВАНИЯ ПОД БЛОК ОХЛАЖДЕНИЯ ТОСОЛА (ГП П.3)."/>
        <s v="Погружение дизель-молотом железобетонных свай длиной до 8 м в грунты группы: 1Сваи железобетонные С80.30-8"/>
        <s v="Огрунтовка бетонных поверхностей свай мастикой МБР (2 слоя) со стоимотью масти"/>
        <s v="Забивка бетоном В20 оголовника ОМ1 с Приготовлением тяжелого бетона тяжелого бетона на щебне класса В 20"/>
        <s v="Монтаж опорных стоек Ст1 и Прогонов при шаге ферм до 12 м с Изготовлением  стоек  в  построечных условиях,со стоимостью отдельных конструктивных элементов "/>
        <s v="Устройство подстилающих слоев щебеночных с пропиткой битумом"/>
        <s v="Монтаж площадки П1.Изготовление площадки П1 в построечных условияхсо стоимостью материалов"/>
        <s v="Монтаж блока охлаждения тосола на открытой площадке, масса оборудования 24,000 т"/>
        <s v="СТРОИТЕЛЬНЫЕ РАБОТЫ ОСНОВАНИЯ ПОД АППАРАТ ВОЗДУШНОГО ОХЛАЖДЕНИЯ (ГП ПП.4.1, 4.2). СЕТИ ИНЖЕНЕРНЫЕ"/>
        <s v="Погружение дизель-молотом железобетонных свай длиной до 6 м  грунты группы: 1Сваи железобетонные С80.30-8"/>
        <s v="Монтаж аппарата воздушного охлаждения на открытой площадке, масса оборудования 1,900 т"/>
        <s v="СТРОИТЕЛЬНЫЕ РАБОТЫ ОСНОВАНИЯ ЕМКОСТИ ДРЕНАЖНОЙ, V-8м3 (гп п.5) И ЕМКОСТИ КОНДЕНСАТА, V-63м3 (гп пп.6.1, 6.2). УСТАНОВКА ПРЕДВАРИТЕЛЬНОЙ ПОДГОТОВКИ ГАЗА. СЕТИ ИНЖЕНЕРНЫЕ"/>
        <s v="ОСНОВАНИЕ ЕМКОСТИ ОЕ2 V-63м3 -2ШТ."/>
        <s v="Разработка грунта в отвал экскаваторами с ковшом вместимостью 0,5 (0,5-0,63) м3, группа грунтов 2"/>
        <s v="Разработка грунта вручную в траншеях глубиной до 2 м без креплений с откосами, группа грунтов 2. Доработка вручную, зачистка дна и стенок с выкидкой грунта в котлованах и траншеях"/>
        <s v="Погружение дизель-молотом  стальных свай шпунтового ряда массой 1 м до 70 кг, длиной до 8 м в грунты группы 1"/>
        <s v="Трубы стальные электросварные прямошовны, наружный диаметр 273х8 мм из стали 09Г2С"/>
        <s v="Стоимость отдельных конструктивных элементов зданий и сооружений  средняя масса сборочной единицы до 0,5 т из стали С345-1(лист 8)"/>
        <s v="Монтаж лотков, решеток, затворов из полосовой и тонколистовой стали.Монтаж опорной пластины. Изготовление опорной пластины"/>
        <s v="Конструкции стальные индивидуальные листовые сварные из стали толщиной 3-10 мм, массой до 0.1 т из стали С345-1(лист 10)"/>
        <s v="Заполнение полости свай цементно-песчаным раствором. Приготовление тяжелых отделочных растворов цементных состава: 1: 3 со ст-ю материалов"/>
        <s v="Огрунтовка бетонных поверхностей свай мастикой МБР (2 слоя) со стоимотью мастики МБР-65"/>
        <s v="Монтаж прогонов при шаге ферм до 12 м при высоте здания до 25 м.Монтаж балок.Марка стали С345, С345к, С345Т1. Изготовление балок в построечных условиях со ст-тью материалов"/>
        <s v="Монтаж хомутов МС20,МС30. Изготовление хомутов МС20,МС30 в построечных условиях со стоимосью материалов"/>
        <s v="Огрунтовка металлических поверхностей за один раз грунт-шпатлевкой ЭП-0010"/>
        <s v="Окраска металлических огрунтованных поверхностей эмалью ЭП-773 в 3 слоя"/>
        <s v="Земляные работы механизированным способом с уплотнением"/>
        <s v="Засыпка вручную траншей, пазух котлованов и ям. Уплотнение грунта пневматическими трамбовками"/>
        <s v="ОСНОВАНИЕ ЕМКОСТИ ОЕ1 V-8м3 - 1ШТ."/>
        <s v="Монтаж хомутов МС20, Изготовление хомутов МС20 в построечных условиях со стоимосью материалов"/>
        <s v="УСТРОЙСТВО СТОЙКИ ВОЗДУШНИКА СТВ1 -3ШТ."/>
        <s v="Бурение ям бурильно-крановыми машинами на тракторе глубиной до 2 м, группа грунтов 2"/>
        <s v="Монтаж стоек в пробуреную скважену и изготовление стоек в построечных условиях"/>
        <s v="Заполнение бетоном пустот между телом стойки и стенкой скважины .Приготовление тяжелого бетона на щебне класса В 7,5 со ст-тью материалов"/>
        <s v="УСТРОЙСТВО УКРЫТИЯ У1 -3ШТ."/>
        <s v="Монтаж металлоконструкций укрытия. Изготовление металлоконструкций укрытия в построечных условиях со ст-тью  материалов"/>
        <s v="Обшивка укрытия профлистом с Профнастилом  оцинкованным с покрытием т.0,6 мм(С10-899-06)"/>
        <s v="Изоляция поверхностей плитами минераловатными на синтетическом связующем марки М-125.Изоляция плитами укрытия со ст-тью плит"/>
        <s v="ПЛОЩАДКА ОБОРДЮРНАЯ БЕТОНОМ"/>
        <s v="Земляные работы механизированным способом"/>
        <s v="Устройство подстилающих слоев песчаных"/>
        <s v="Устройство бетонных плитных тротуаров с заполнением швов цементным-песчаным раствором М100 состава 1:3(плита тратуарная 8К.10)"/>
        <s v="Установка бортовых камней бетонных(бортовой камень БР100х30х15)"/>
        <s v="Устройство монолитных бетонных участков"/>
        <s v="ПРИОБРЕТЕНИЕ И МОНТАЖ ЕМКОСТИ ДРЕНАЖНОЙ, V-8 м3 (ГП П.5). СЕТИ ИНЖЕНЕРНЫЕ"/>
        <s v="ОБОРУДОВАНИЕ"/>
        <s v="Стоимость конденсатосборника V-8м3 (ЕП 8-2000-1300-3), с насосом центробежным полупогружным НВ-Д 50/50, с глубинным погружением L-3000мм, Q-50м3/ч, Н-50м, с электродвигателем N-22кВт"/>
        <s v="МОНТАЖНЫЕ РАБОТЫ"/>
        <s v="Монтаж оборудования на открытой площадке, масса оборудования 3,347 т"/>
        <s v="Гидравлическое испытание сосудов и аппаратов. Аппарат или сосуд горизонтальный или вертикальный, работающий без давления, вместимость 8 м3"/>
        <s v="СТРОИТЕЛЬНЫЕ РАБОТЫ"/>
        <s v="Нанесение антикоррозийной изоляцией весьма усиленного типа"/>
        <s v="ПРИОБРЕТЕНИЕ И МОНТАЖ ЕМКОСТИ КОНДЕНСАТА, V-63 м3 (ГП ПП. 6.1, 6.2). СЕТИ ИНЖЕНЕРНЫЕ (2 шт.)"/>
        <s v="Стоимость сбора конденсата подземная горизонтальная V-63м3 (ЕП 63-3000-1000-3), с насосом центрбежным погружными НВ-Д 50/50, с глубиной погружения L-3700мм, Q-50м3/ч, Н-50м, с электродвигателем N-22кВт"/>
        <s v="Монтаж оборудования на открытой площадке, масса оборудования: 9,425 т"/>
        <s v="Гидравлическое испытание сосудов и аппаратов. Аппарат или сосуд горизонтальный или вертикальный, работающий без давления, вместимость 63 м3"/>
        <s v="СТРОИТЕЛЬНЫЕ РАБОТЫ ОСНОВАНИЯ ТРАНСФОРМАТОРНОЙ ПОДСТАНЦИИ (ГП П. 8). "/>
        <s v="Погружение дизель-молотом железобетонных свай длиной до 8 м в грунты группы: 1"/>
        <s v="Погружение дизель-молотом  железобетонных свай длиной до 10 м в грунты группы: 1.Сваи железобетонные С100.30-8,С80.30-8"/>
        <s v="Монтаж оголовника ОМ1.Изготовление оголовника в построечных условиях со ст-тью материалов"/>
        <s v="Забивка бетоном В20 оголовника ОМ1.Приготовление тяжелого бетона на щебне класса В 20"/>
        <s v="СТРОИТЕЛЬНЫЕ РАБОТЫ ПРОЖЕКТОРНОЙ МАЧТЫ (ГП ПП. 9.1, 9.2). "/>
        <s v="Погружение дизель-молотомжелезобетонных свай длиной до 12 м.Сваи железобетонные С35.12-2"/>
        <s v="Монтаж оголовника М42.Изготовление оголовника в построечных условиях со ст-тью материалов"/>
        <s v="Установка стальных прожекторных мачт с площадками и лестницей, тросостойкой и молниеотводом со ст-тью материалов"/>
        <s v="ЭЛЕКТРООБОРУДОВАНИЕ ПРОЖЕКТОРНОЙ МАЧТЫ (ГП ПП. 9.1, 9.2)."/>
        <s v="Выключатели пакетный ПВ4-16 М1-пл. 56, пластмассовый корпус"/>
        <s v="Коробка клеммная КЗНС08-16-УТ1"/>
        <s v="Прожектор &quot;Прометей&quot; ЖО29-400-У1. Натриевая лампа высокого давления ДНаТ-400-5"/>
        <s v="Рукав, наружный диаметр, мм, до 48 - Шланг электромонтажный ШЭМ32. "/>
        <s v="Труба по фермам, колоннам и другим стальным конструкциям, диаметр, мм, до 40. "/>
        <s v="Кабели до 35 кВ в проложенных трубах, блоках и коробах, масса 1 м, кг, до 1"/>
        <s v="Заделка концевая для 3-4-жильного кабеля с пластмассовой и резиновой изоляцией сечение одной жилы, мм2, до 35 (ЗАДЕЛКИ КОНЦЕВЫЕ СУХИЕ)"/>
        <s v="МАТЕРИАЛЫ"/>
        <s v="Прожектор &quot;Прометей&quot; ЖО29-400-У1"/>
        <s v="Натриевая лампа высокого давления ДНаТ-400-5"/>
        <s v="Кабель силовой с медной жилой, не распространяющий горение ВВГнг-0,66 кВ 5х2,5 мм2"/>
        <s v="Кабели силовые переносные с гибкими медными жилами в резиновой оболочке марки КГ, с числом жил - 3 и сечением 1.5 мм2"/>
        <s v="Трубы стальные сварные водогазопроводные с резьбой черные легкие (неоцинкованные) диаметр условного прохода 25 мм, толщина стенки 2.8 мм"/>
        <s v="Сальник привертный У262 ХЛ2"/>
        <s v="Профиль монтажный К241 ХЛ1, L 2000мм"/>
        <s v="Шланг электромонтажный ШЭМ32У2,5"/>
        <s v="Муфта трубная МТ32 У2,5"/>
        <s v="Полоска-пряжка : К398 УХЛ2"/>
        <s v="СТРОИТЕЛЬНЫЕ РАБОТЫ ОСНОВАНИЯ ПОД БЛОК-БОКС ДЛЯ ХРАНЕНИЯ ПОЖАРНОГО ИНВЕНТАРЯ (ГП П. 10). ЭЛЕКТРООБОРУДОВАНИЕ ПРОЖЕКТОРНОЙ МАЧТЫ (ГП ПП. 9.1, 9.2)."/>
        <s v="Погружение дизель-молотом железобетонных свай длиной до 6 м .Сваи железобетонные С60.30-8"/>
        <s v="Монтаж пандуса Пд1.Изготовление пандуса Пд1 в построечных условиях со ст-тью материалов"/>
        <s v="ПРИОБРЕТЕНИЕ И МОНТАЖ БЛОК-БОКСА ДЛЯ ХРАНЕНИЯ ПОЖАРНОГО ИНВЕНТАРЯ (ГП П.10). "/>
        <s v="Блок-бокс для хранения пожарного инвентаря"/>
        <s v="Пенообразователь АFFF"/>
        <s v="Огнетушитель переносной воздушно-пенный ОВП(с)-10(з)"/>
        <s v="Огнетушитель переносной порошковый ОП-5(з)"/>
        <s v="Монтаж оборудования на открытой площадке, масса т 10"/>
        <s v="МАТЕРИАЛЫ и инструменты"/>
        <s v="СТРОИТЕЛЬНЫЕ РАБОТЫ ОСНОВАНИЯ ПОД РЕЗЕРВУАР ПРОТИВОПОЛОЖНОГО ЗАПАСА ВОДЫ, V-100 м3 (ГП П. 11)."/>
        <s v="Погружение дизель-молотом  железобетонных свай длиной до 12 м в грунты группы: 2.Сваи железобетонные С100.30-8"/>
        <s v="Монтаж распорок РС1 из одиночных и парных уголков, гнутосварных профилей,труб для пролетов до 24 м при высоте здания до 25 м. Марка стали С345, С345к, С345Т1.Изготовление распорок в построечных условиях."/>
        <s v="ПРИОБРЕТЕНИЕ И МОНТАЖ РЕЗЕРВУАРА ПРОТИВОПОЖАРНОГО ЗАПАСА ВОДЫ, V-100 м3 (ГП П. 11). "/>
        <s v="Стоимость резервуара горизонтального стального цилиндрического есмкостью 100м3 в северном исполнении в комплекте с оборудованием (РГСН100-09Г2С-1)"/>
        <s v="Монтаж оборудования на открытой площадке, масса 6,320 т"/>
        <s v="ПРОТИВОКОРРОЗИЙНАЯ ЗАЩИТА ВНУТРЕННЕЙ ПОВЕРХНОСТИ РЕЗЕРВУАРА"/>
        <s v="Очистка металлическим песком внутренней поверхности оборудования и труб диаметром более 500 мм. Выполнение работ с лесов, подмостей, люлек, лестниц внутри аппаратов и емкостей при диаметре (ширине) свыше 4 м"/>
        <s v="Обеспыливание поверхности. "/>
        <s v="Обезжиривание поверхностей аппаратов и трубопроводов диаметром свыше 500 мм уайт-спиритом."/>
        <s v="Покрытие внутренней поверхности резервуара грунтовкой Б-ЭП-0261 в два слоя. "/>
        <s v="Окраска внутренней поверхности резервуара эмалью Б-ЭП-610 (ЭПОБЕН) в три слоя."/>
        <s v="ТЕПЛОИЗОЛЯЦИЯ РЕЗЕРВУАРА"/>
        <s v="Теплоизоляция резервуара теплоизоляционными плитами из минеральной ваты на синтетическом связующем марки 125 толщиной 80 мм. Производство работ на высоте до 15 м"/>
        <s v="Огрунтовка металлических поверхностей за один раз грунтовкой ВЛ-023"/>
        <s v="Окраска металлических огрунтованных поверхностей эмалью &quot;Эвикор&quot; в три слоя"/>
        <s v="СТРОИТЕЛЬНЫЕ РАБОТЫ ОПОР ПОД ИНЖЕНЕРНЫЕ СЕТИ. "/>
        <s v="ОПОРЫ ПОД ЭЛЕКТРИЧЕСКИЕ СЕТИ - 56ШТ."/>
        <s v="Погружение дизель-молотом  стальных свай шпунтового ряда , длиной свыше 8 м.Стоимость отдельных конструктивных элементов до 0,5 т из стали С255(лист 6)"/>
        <s v="Трубы стальные электросварные  наружный диаметр 219х8 мм из стали 09Г2С"/>
        <s v="Трубы стальные электросварные прямошовные  наружный диаметр 159х8 мм из стали 09Г2С"/>
        <s v="Монтаж лотков, решеток, затворов из полосовой и тонколистовой стали.Монтаж опорной пластины .Изготовление опорной пластины в построечных условиях."/>
        <s v="Монтаж стоек. Изготовление стоек в построечных условиях.Стоимость отдельных конструктивных элементов преобладанием толстолистовой стали : С255(швеллер 10); уголок 63х5;(лист 8); (лист 6);(лист 4) ."/>
        <s v="Трубы стальные электросварные прямошовные  наружный диаметр 219х8 мм из стали 09Г2С"/>
        <s v="ОПОРЫ ПОД ИНЖЕНЕРНЫЕ СЕТИ - 131ШТ."/>
        <s v="Погружение дизель-молотом  стальных свай шпунтового ряда , длиной свыше 8 м.Стоимость отдельных конструктивных элементов до 0,5 т из стали  С345-1(лист 8); С345-1((лист 6); С255(лист 4)."/>
        <s v="Трубы стальные электросварные прямошовные наружный диаметр 108х5,5 мм из стали 09Г2С"/>
        <s v="Монтаж стоек. Изготовление стоек в построечных условиях.Стоимость отдельных конструктивных элементов преобладанием толстолистовой стали : С255(лист 4)"/>
        <s v="Монтаж прогонов при шаге ферм до 12 м при высоте здания до 25 м.Монтаж балок.Марка стали С345, С345к, С345Т1,Изготовление балок в построечных условиях со ст-тью маталлоконструкций"/>
        <s v="СТОЙКА СИГНАЛИЗАЦИИ СС1;СС2 - 5ШТ."/>
        <s v="Устройство бетонных плитных тротуаров Плиты бетонные и цементно-песчаные для тротуаров, марки 300,(8К.10)"/>
        <s v="Монтаж стоек в пробуреную скважену и изготовление стоек в построечных условиях ст-тью маталлоконструкций"/>
        <s v="ОСНОВАНИЕ ОШ1 ДЛЯ УТЕПЛЕННОГО ШКАФА- 2ШТ."/>
        <s v="Устройство бетонных плитных тротуаров Плиты бетонные и цементно-песчаные для тротуаров,  марки 300,(7К.8)"/>
        <s v="ЭЛЕКТРИЧЕСКИЙ ПЕРЕХОД ПЭ1 - 1ШТ."/>
        <s v="Монтаж перехода ПЭ1. Изготовление перехода в построечных условиях ст-тью маталлоконструкций"/>
        <s v="СПУСК ЭЛЕКТРИЧЕСКИЙ СК1-1ШТ."/>
        <s v="Монтаж спуска Изготовление спусков в построечных условиях ст-тью маталлоконструкций"/>
        <s v="СТРОИТЕЛЬНЫЕ РАБОТЫ ПЛОЩАДОК ОБСЛУЖИВАНИЯ."/>
        <s v=".ПЛОЩАДКА ОБСЛУЖИВАНИЯ ПО1 - 1ШТ."/>
        <s v="Погружение дизель-молотом  стальных свай шпунтового ряда , длиной свыше 8 м.Стоимость отдельных конструктивных элементов до 0,5 т из стали   С345-1(лист 10)"/>
        <s v="Монтаж настила с ограждением. Изготовление настила с ограждением в построечных условиях. Стоимость металлоконструкций"/>
        <s v="Монтаж лестниц прямолинейных Изготовление лестниц построечных условиях. Стоимость металлоконструкций"/>
        <s v="ПЛОЩАДКИ ОБСЛУЖИВАНИЯ ПО2,ПО4 - 2ШТ."/>
        <s v="Погружение дизель-молотом, длиной до 8 м в грунты группы 1Стоимость отдельных конструктивных элементов до 0,5 т из стали   С345-1(лист 10)"/>
        <s v="Монтаж лотков, решеток, затворов из полосовой и тонколистовой стали.Монтаж опорной пластины .Изготовление опорной пластины в построечных условиях из стали С255(лист 10)"/>
        <s v="Монтаж площадок с ограждением. Изготовление настила с ограждением в построечных условиях. Стоимость металлоконструкций"/>
        <s v=".ПЛОЩАДКИ ОБСЛУЖИВАНИЯ ПО3,ПО7 - 2ШТ."/>
        <s v="Монтаж стоек. Изготовление стоек в построечных условиях.Стоимость отдельных конструктивных элементов преобладанием толстолистовой стали : из сталиС255(лист 4)"/>
        <s v="Монтаж прогонов при шаге ферм до 12 м при высоте здания до 25 м.Монтаж балок.Марка стали С345, С345к, С345Т1,Изготовление балок в построечных условиях со ст-тью маталлоконструкций из стали С345-1(швеллер 14У)"/>
        <s v="ПЛОЩАДКА ОБСЛУЖИВАНИЯ ПО5,ПО6 - 2ШТ."/>
        <s v="Заполнение бетоном пустот между телом стойки и стенкой скважины .Приготовление тяжелого бетона на щебне класса В 7,5"/>
        <s v="СТРОИТЕЛЬНЫЕ РАБОТЫ ПО УСТРОЙСТВУ КОЛОДЦЕВ"/>
        <s v="КОЛОДЦЫ С ЗАДВИЖКОЙ К2,К3 - 2ШТ."/>
        <s v="Монтаж металлоконструкций колодцев. Изготовление колодцев в построечных условиях"/>
        <s v="Огрунтовка наружней и внутренней металлической поверхности колодцев за один раз грунт-шпатлевкой ЭП-0010.Окраска эмалью ЭП-773 в 3 слоя"/>
        <s v="Заделка сальников при проходе труб через фундаменты"/>
        <s v="Монтаж опор. Изготовление опор"/>
        <s v="Установка люка. Люки канализационные Л(А15)-К.1-60. "/>
        <s v="УСТРОЙСТВО КОЛОДЦА К4,К5 - 2ШТ."/>
        <s v="УСТРОЙСТВО КОЛОДЦА К1 - 1ШТ."/>
        <s v="Установка люка. Люки канализационные Л(А15)-К.1-60"/>
        <s v="УСТРОЙСТВО ДОЖДЕПРИЕМНОГО КОЛОДЦА Д1,Д2 - 2ШТ."/>
        <s v="ТЕХНОЛОГИЧЕСКИЕ ТРУБОПРОВОДЫ."/>
        <s v="Клапан обратный поворотный, из стали 09Г2С , с ответными фланцами и кркпежными изделиями ПТ4451-300-05 Ду 300мм,РуКлапан обратный поворотный, из стали 09Г2С , с ответными фланцами и кркпежными изделиями ПТ4451-300-05 Ду 300мм,Ру"/>
        <s v="Стационарное отсечное устройство под приварку СОУ 300х16-СвШп, Ду-300мм,Ру-1,6МПа"/>
        <s v="Кран шаровой фланцевый с электроприводом АUМА во взрывозащищенном испонении, с ответными фланцами и крепежными изделиями Ду 200мм, Ру1,6МПа"/>
        <s v="Кран шаровой фланцевый с электроприводом АUМА во взрывозащищенном испонении, с ответными фланцами и крепежными изделиями Ду 300мм, Ру1,6МПа"/>
        <s v="Кран шаровой фланцевый, с ручным управлением, с ответными фланцами и крепежными изделиями Ду 300мм,Ру"/>
        <s v="Шкаф утепленный (600х600х1400)"/>
        <s v="Монтаж клапана ПТ44151-300-05 на условное давление до 4 МПа. Диаметр условного прохода, мм 300"/>
        <s v="Монтаж отсечного устройства СОУ 300х16-СвШп приварного "/>
        <s v="Монтаж крана шарового фланцевого с электрическим приводом "/>
        <s v="Монтаж кранав шарового фланцевого с ручным приводом"/>
        <s v="Монтаж шкафа, масса до 100 кг"/>
        <s v="Монтаж предохранителя. Предохранитель огневой в комплекте с ответными фланцами и крепежными изделиями ПО-100 УХЛ Ду 100мм"/>
        <s v="Монтаж фильтра. Фильтр сетчатый У - образный, ФС 100ХЛ 16-0,63 УХЛ, Ду 100мм, Ру-1,6МПа"/>
        <s v="Монтаж задвижки.Задвижка клиновая с выдвижным шпинделем фланцевая из стали 20ГЛ с ручным управлением, с ответными фланцами и крепежными изделиями ЗКЛ2 50-16ХЛ1 (30лс41нж1) Ду 50мм, Ру1,6МПа"/>
        <s v="Монтаж задвижки. Задвижка клиновая с выдвижным шпинделем фланцевая из стали 20ГЛ с ручным управлением, с ответными фланцами и крепежными изделиями ЗКЛ2 80-16ХЛ1 (30лс41нж1) Ду 80мм, Ру1,6МПа"/>
        <s v="Монтаж задвижки. Задвижка клиновая с выдвижным шпинделем фланцевая из стали 20ГЛ с ручным управлением, с ответными фланцами и крепежными изделиями ЗКЛ2 100-16ХЛ1 (30лс41нж1) Ду 100мм, Ру1,6МПа"/>
        <s v="Монтаж.Кран шаровой фланцевый, с ручным управлениям, с ответными фланцами и крепежными изделиями Ду 100мм,Ру"/>
        <s v="Монтаж. Кран шаровой фланцевый, с ручным управлениям, с ответными фланцами и крепежными изделиями Ду 150мм,Ру"/>
        <s v="Монтаж. Кран шаровой фланцевый, с ручным управлениям, с ответными фланцами и крепежными изделиями Ду 200мм,Ру"/>
        <s v="Монтаж.Клапан обратный поворотный, из стали 20ГЛ , с ответными фланцами и кркпежными изделиями КОП 50-40(19лс53нж) Ду 50мм,Ру"/>
        <s v="Монтаж. Клапан обратный поворотный, из стали 20ГЛ , с ответными фланцами и кркпежными изделиями КОП 80-40(19лс53нж) Ду 80мм,Ру"/>
        <s v="Монтаж.Клапан обратный поворотный, из стали 20ГЛ , с ответными фланцами и кркпежными изделиями КОП 200-40(19лс53нж) Ду 200мм,Ру"/>
        <s v="Монтаж.Муфта сливная МС 50 УХЛ, Ду-50мм,Ру-0,1МПа"/>
        <s v="Монтаж.Стационарное отсечное устройство под приварку СОУ 200х16-СвШп, и СОУ 80х16-СвШп, Ду-80мм,Ру-1,6МПа"/>
        <s v="Монтаж. Отборное устройство (016-70-09Г2С-МП)"/>
        <s v="Трубопроводы из стальных труб Диаметр трубопровода наружный, мм 57"/>
        <s v="Контроль стыков. Трубопровод, диаметр, мм 57.Рентгенографический контроль. "/>
        <s v="Трубопроводы из стальных труб Диаметр трубопровода наружный диаметр 89х6,0 мм"/>
        <s v="Трубопроводы из стальных труб Диаметр трубопровода наружный  диаметр 114х5 мм"/>
        <s v="Контроль стыков. Трубопровод, диаметр,114 мм "/>
        <s v="Трубопроводы из стальных труб Диаметр трубопровода наружный диаметр 159х6 мм"/>
        <s v="Контроль стыков. Трубопровод, диаметр,159 мм "/>
        <s v="Трубопроводы из стальных труб Диаметр трубопровода наружный диаметр 219 мм"/>
        <s v="Контроль стыков. Трубопровод, диаметр,219 мм "/>
        <s v="Трубопроводы из стальных труб Диаметр трубопровода наружный диаметр 325 мм"/>
        <s v="Контроль стыков. Трубопровод, диаметр, 325 мм "/>
        <s v="Рентгенографический контроль. Трубопровод , толщина стенки, мм, до 10"/>
        <s v="Установка фасонных частей стальных сварных диаметром 100-250 мм"/>
        <s v="Монтаж опор. Опоры скользящие"/>
        <s v="НАДЗЕМНАЯ ИЗОЛЯЦИЯ ТРУБОПРОВОДОВ"/>
        <s v="Огрунтовка металлических поверхностей за один раз грунтовкой ГФ-021(для теплоизоляции)"/>
        <s v="Окраска металлических огрунтованных поверхностей эмалью ПФ-115 за 2 раза(для теплоизоляции)"/>
        <s v="Изоляция трубопроводов матами минераловатными"/>
        <s v="Покрытие поверхности изоляции трубопроводов сталью оцинкованной"/>
        <s v="Огрунтовка металлических поверхностей за один раз грунтовкой ГФ-021.Опозновательная окраска по покровному слою"/>
        <s v="Окраска металлических огрунтованных поверхностей эмалью ПФ-115 за 2 раза.Опозновательная окраска по покровному слою"/>
        <s v="ТРУБОПРОВОД ТОСОЛА. "/>
        <s v="Трубопроводы из стальных труб Диаметр трубопровода  наружным диаметром 18х3,0 мм;32х3 мм "/>
        <s v="Контроль стыков. Рентгенографический контроль. "/>
        <s v="Трубопроводы из стальных труб Диаметр трубопровода наружный диаметр 114х6,0 мм"/>
        <s v="Изоляция трубопроводов шнурами"/>
        <s v="ДРЕНАЖНЫЙ ТРУБОПРОВОД"/>
        <s v="ЗЕМЛЯНЫЕ РАБОТЫ"/>
        <s v="Разработка грунта в отвал экскаваторами  с ковшом вместимостью 0,5 (0,5-0,63) м3, группа грунтов 1"/>
        <s v="Монтаж задвижки.Задвижка клиновая с выдвижным шпинделем, с патрубком под приварку встык, из стали 09Г2С с ручным управлением ЗКС 160-25 (31лс41нж1) Ду 25мм, Ру1,6МПа"/>
        <s v="Монтаж задвижки.Задвижка клиновая с выдвижным шпинделем фланцевая из стали 20ГЛ с ручным управлением, с ответными фланцами и крепежными изделиями ЗКЛ2 100-16ХЛ1 (30лс41нж1) Ду 100мм, Ру1,6МПа"/>
        <s v="Монтаж.Стационарное отсечное устройство под приварку СОУ 50х16-СвШп, Ду-25мм,Ру-1,6МПа; СОУ 50х16-СвШп, Ду-50мм,Ру-1,6МПа;  СОУ 100х16-СвШп, Ду-100мм,Ру-1,6МПа"/>
        <s v="Трубопроводы из стальных труб Диаметр трубопровода  наружным диаметром 32х3 мм "/>
        <s v="Контроль стыков. Трубопровод, диаметр,32 мм "/>
        <s v="Трубы стальные бесшовные наружный диаметр 57х5 мм"/>
        <s v="ПОДЗЕМНАЯ ИЗОЛЯЦИЯ ТРУБОПРОВОДОВ"/>
        <s v="Нанесение весьма усиленной антикоррозионной изоляции полимерными липкими лентами стальных трубопроводов диаметром 114 мм"/>
        <s v="ТРУБОПРОВОД ГАЗОВОГО КОНДЕНСАТА."/>
        <s v="Задвижка клиновая с выдвижным шпинделем фланцевая из стали 20ГЛ с электроприводом АUМА SА 10.1/SАЕС 10.1, с ответными фланцами и крепежными изделиями ЗКЛП 100-16 ХЛ1(30лс915нж1) Ду 100мм, Ру1,6МПа"/>
        <s v="Монтаж задвижки.Задвижка фланцевая ЗКЛП-100-16 ХЛ1(30лс915нж1) с электрическим приводом на условное давление до 4 МПа. Диаметр условного прохода, мм 100"/>
        <s v="Монтаж задвижки.Задвижка клиновая с выдвижным шпинделем фланцевая из стали 20ГЛ с ручным управлением, с ответными фланцами и крепежными изделиями ЗКЛ2 80-16ХЛ1 (30лс41нж1) Ду 80мм, Ру1,6МПа"/>
        <s v="Монтаж задвижки.Задвижка клиновая с выдвижным шпинделем фланцевая из стали 20ГЛ с ручным управлением, с ответными фланцами и крепежными изделиями ЗКЛ2 150-16ХЛ1 (30лс41нж1) Ду 150мм, Ру1,6МПа"/>
        <s v="Клапан обратный поворотный, из стали 20ГЛ , с ответными фланцами и кркпежными изделиями КОП 80-40(19лс53нж) Ду 80мм,Ру"/>
        <s v="Монтаж.Стационарное отсечное устройство под приварку СОУ 50х16-СвШп, Ду-50мм,Ру-1,6МПа;  СОУ 80х16-СвШп, Ду-80мм,Ру-1,6МПа; СОУ 100х16-СвШп, Ду-100мм,Ру-1,6МПа; СОУ 150х16-СвШп, Ду-150мм,Ру-1,6МПа; СОУ 200х16-СвШп, Ду-200мм,Ру-1,6МПа"/>
        <s v="Монтаж.Трубы стальные бесшовные наружный диаметр 57х5 мм"/>
        <s v="Монтаж.Трубы стальные бесшовные наружный диаметр 89х6,0 мм"/>
        <s v="Контроль стыков.. Трубопровод, диаметр, мм 89"/>
        <s v="Контроль стыков. Трубопровод, диаметр,159 мм Рентгенографический контроль. "/>
        <s v="Нанесение весьма усиленной антикоррозионной изоляции полимерными липкими лентами стальных трубопроводов диаметром 159 мм"/>
        <s v="ТРУБОПРОВОД НА ФАКЕЛ."/>
        <s v="Монтаж крана. Кран шаровой фланцевый, с ручным управлениям, с ответными фланцами и крепежными изделиями Ду 50мм,Ру"/>
        <s v="Монтаж крана. Кран шаровой фланцевый, с ручным управлениям, с ответными фланцами и крепежными изделиями Ду 80мм,Ру"/>
        <s v="Монтаж крана.Кран шаровой фланцевый, с ручным управлениям, с ответными фланцами и крепежными изделиями Ду 100мм,Ру"/>
        <s v="Монтаж крана.Кран шаровой фланцевый, с ручным управлениям, с ответными фланцами и крепежными изделиями Ду 200мм,Ру"/>
        <s v="Клапан регулирующий проходной с ответными фланцами и крепежными изделиями, из стали 09Г2С, с ручным управлением,класс герметичности &quot;А&quot; Ду-25мм,Ру-2,5МПа"/>
        <s v="Монтаж.Стационарное отсечное устройство под приварку СОУ 50х16-СвШп, Ду-50мм,Ру-1,6МПа; СОУ 80х16-СвШп, Ду-80мм,Ру-1,6МПа;СОУ 100х16-СвШп, Ду-100мм,Ру-1,6МПа"/>
        <s v="Монтаж.Трубы бесшовные холоднодеформированные из коррозионно-стойкой наружным диаметром 45х2,5 мм"/>
        <s v=" Контроль стыков. Трубопровод, диаметр, мм 45"/>
        <s v="Монтаж.Трубы бесшовные холоднодеформированные из коррозионно-стойкой наружным диаметром  57х5 мм"/>
        <s v=" Контроль стыков. Трубопровод, диаметр,  57мм  Рентгенографический контроль. "/>
        <s v="Трубопроводы из стальных труб Диаметр трубопровода наружный диаметр 219х6 мм"/>
        <s v="Контроль стыков. Трубопровод, диаметр,219 мм Рентгенографический контроль. "/>
        <s v="ТРУБОПРОВОД СБРОСА ГАЗА С ПРЕДОХРАНИТЕЛЬНОГО КЛАПАНА"/>
        <s v="ТРУБОПРОВОД РАСТВОРА ПЕНООБРАЗОВАТЕЛЯ. "/>
        <s v="Головка соединительная всасывающая муфтовая Ду-125мм Ру-0,1МПа (ГМВ-125УХЛ)"/>
        <s v="Головка-заглушка соединительная всасывающая Ду-125мм Ру-0,1МПа (ГЗВ-125УХЛ)"/>
        <s v="Монтаж головок-соединительных, головок-заглушек"/>
        <s v="Монтаж крана.Кран шаровой стальной для жидких и газообразных сред, с ответными фланцами и крепежными изделиями, исполнение У1, Ду-50мм Ру-1,6МПа (11с16нж)КШ. 1-1-50-16-00-12"/>
        <s v="Укладка трубопроводов из полиэтиленовых труб диаметром 65 мм"/>
        <s v="ВОДОПРОВОД ПРОТИВОПОЖАРНЫЙ. "/>
        <s v="Головка соединительная напорная муфтовая Ду-80мм, Ру-1,6МПа (ГМ-80УХЛ)"/>
        <s v="Головка-заглушка Ду-80мм, Ру-0,1МПа (ГЗ-80УХЛ)"/>
        <s v="Флюоресцентный указатель размером 300х300"/>
        <s v="Флюоресцентный указатель размером 550х700"/>
        <s v="Установка задвижек или клапанов обратных стальных диаметром 80 мм, 200мм"/>
        <s v="Укладка стальных водопроводных труб с гидравлическим испытанием диаметром 89 мм, 219 мм"/>
        <s v="Установка фасонных частей стальных сварных диаметром 100-250 мм. Монтаж опор пожвижных"/>
        <s v="ИЗОЛЯЦИЯ ТРУБОПРОВОДОВ"/>
        <s v="Окраска металлических огрунтованных поверхностей краской БТ-177 за два раза"/>
        <s v="Устройство пароизоляционного слоя из пленки полиэтиленовой толщиной 0,5 мм в один слой"/>
        <s v="КАНАЛИЗАЦИЮ ПРОИЗВОДСТВЕННО-ДОЖДЕВУЮ"/>
        <s v="ЗАДВИЖКИ И ЗАПОРНАЯ АРМАТУРА"/>
        <s v="Установка задвижек или клапанов обратных стальных диаметром 200 мм"/>
        <s v="ТРУБОПРОВОДЫ"/>
        <s v="Укладка стальных водопроводных труб с гидравлическим испытанием диаметром 219 мм"/>
        <s v="Нанесение усиленной антикоррозионной изоляции полимерными липкими лентами (Полилен-40-ЛИ-63, Полилен-ОБ) стальных трубопроводов диаметром 219 мм"/>
        <s v="Изоляция поверхностей трубопроводов штучными изделиями из пенополиуретана (&quot;Пеноплекс&quot;)"/>
        <s v="МОНТАЖ СЕТЕЙ ПОЖАРНОЙ СИГНАЛИЗАЦИИ.       "/>
        <s v="Рукав металлический, наружный диаметр, мм, до 48 со стоимостью материалов"/>
        <s v="Монтаж кабеля до 35 кВ в проложенных трубах, блоках и коробах.Кабель контрольный КВВГнг-FRLS 4х1,0"/>
        <s v="ЭЛЕКТРООБОГРЕВ ТРУБОПРОВОДОВ. "/>
        <s v="Шкаф управления системой обогрева ЩТ1"/>
        <s v="Блок управления шкафного исполнения или распределительный пункт (шкаф), устанавливаемый на стене, высота и ширина, мм, до 1200х1000"/>
        <s v="Монтаж. Коробка (ящик) с зажимами для кабелей и проводов сечением до 6 мм2. Коробка соединительная взрывозащищенная (2ЕХЕIIТ5) КЗГП-ВЭЛ-2.2-25/3-1/РЕ-СК-ВК-Л -ВЭЛЗ-М25х1,5-В1,5"/>
        <s v="Монтаж.Коробка (ящик) с зажимами для кабелей и проводов сечением до 6 мм2. Коробка соединительная взрывозащищенная (2ЕХЕIIТ5) КЗП2.1-25/10-(ВК-12)х2(А)-(ВК- 12)х2(С)-В1,5 "/>
        <s v="Монтаж. Коробка для подключения греющих кабелей, до 4 зажимов (КЗГП-ВЭЛ-2.2-25/3 .)и  Коробка  (2ЕХЕIIТ5) КЗП2.1-28/10-(ВК-25накл)х1(А)- (ВК-12)х1(В)-(ВК-12)х2(С)-В1,5"/>
        <s v=" Монтаж. Коробка для подключения греющих кабелей, до 6 зажимов (КЗГП-ВЭЛ-2.2-25/5)  Коробка (2ЕХЕIIТ5) КЗГП-ВЭЛ-2.2-25/5-2/РЕ-СК-(ВК- Л-ВЭЛЗ-М25х1,5)[1(А)-В1,5"/>
        <s v="Монтаж саморегулирующей нагревательной ленты. Саморегулируемый параллельный греющий кабель НSВ15, 25, 30, 45"/>
        <s v="Монтаж хомутов"/>
        <s v="Концевая заделка для греющего кабеля"/>
        <s v="Труба по установленным конструкциям, по стенам. Шланг электромонтажный, наружный диаметр, мм, до 48.Металлоконструкции"/>
        <s v="Кабели до 35 кв в проложенных трубах, блоках и коробах .Кабели до 35 кВ по установленным конструкциям и лоткам с креплением на поворотах."/>
        <s v="Заделки концевая сухие для 3-4-жильного кабеля с пластмассовой и резиновой изоляцией."/>
        <s v="Крепежный материал"/>
        <s v="Кабель силовой с медной жилой, пониженной горючести ВВГнг-0,66 3х2,5"/>
        <s v="Кабель силовой с медной жилой, пониженной горючести ВВГнг-0,66 5х2,5"/>
        <s v="Кабель силовой с медной жилой, пониженной горючести ВВГнг-0,66 5х50"/>
        <s v="Кабель силовой с медной жилой, круглый, пониженной горючести ВВГзнг-0,66 3х2,5"/>
        <s v="Кабель силовой с медной жилой, круглый, пониженной горючести ВВГзнг-0,66 4х2,5"/>
        <s v="Кабель силовой с медной жилой, круглый, пониженной горючести ВВГзнг-0,66 5х2,5"/>
        <s v="Кабель силовой с медной жилой, круглый, пониженной горючести ВВГзнг-0,66 5х4"/>
        <s v="Муфты, проволока,  профиль зетовый, L 2000м К241ХЛ1"/>
        <s v="ПРИОБРЕТЕНИЕ И МОНТАЖ ЭЛЕКТРИЧЕСКИХ СЕТЕЙ."/>
        <s v="Разработка грунта в траншее экскаватором для прокладки шин заземления"/>
        <s v="Комплектная трансформаторная подстанция в блочно-модульном исполнении 2КТПП-БМ-630/6/0,4-У3 с трансформаторами ТМГФ-630 кВА"/>
        <s v="Конденсаторная установка КРМ-0,4-100-10-62-УХЛ4"/>
        <s v="Металлоконструкции щита заводского изготовления, однорядного, шкафного исполнения Щ1"/>
        <s v="Блок управления БММ9330-3074"/>
        <s v="Блок управления БМП5132-3774"/>
        <s v="Блок управления БММ8503Р-4470Б"/>
        <s v="Блок управления БММ8503Р-3870Г"/>
        <s v="Блок управления БММ8503Р-3870В"/>
        <s v="Блок управления БМ9515"/>
        <s v="Блок управления БМ9513А"/>
        <s v="Устройство заземления автоцистерн ВУУК-У3А-3В ХЛ1"/>
        <s v="Реле фотоэлектронное РФС11М"/>
        <s v="Пост управления кнопочный взрывозащищенный (2ЕХdIIСТ6) ПВК-25ХЛ1"/>
        <s v="Блок-бокс трансформаторной постанции БМ-2-КТПП 630/6/0,4-03-У3, масса 11 т"/>
        <s v="Блок-бокс трансформаторной постанции БМ-2-КТПП 630/6/0,4-03-У3, масса 10 т"/>
        <s v="Блок-бокс трансформаторной постанции БМ-2-КТПП 630/6/0,4-03-У3, масса 9 т"/>
        <s v="Блок-бокс трансформаторной постанции БМ-2-КТПП 2500/6/0,4-03-У3, масса 4,5 т"/>
        <s v="Установка (шкаф) комплектная конденсаторная на установленных конструкциях, масса, кг, до: 100 - Конденсаторная установка КРМ-0,4-100-10-62-УХЛ4"/>
        <s v="Щит заводского изготовления однорядный или двухрядный шкафного исполнения, глубина до 600 мм"/>
        <s v="Прибор или аппарат, снятый перед транспортировкой (Блоки управления БММ)"/>
        <s v="Монтаж устройства заземления автоцистерн ВУУК-УЗА-3В ХЛ1"/>
        <s v="Коробка с зажимами, устанавливаемая на конструкции на стене или колонне, для кабелей или проводов сечением, мм2, до 10, до 6 зажимов (КЗП3.1-28/6-ВК-25х3)"/>
        <s v="Аппарат (кнопка, ключ управления, замок электромагнитной блокировки, звуковой сигнал, сигнальная лампа), количество подключаемых концов, до 6 -- Реле фотоэлектронное РФС11М"/>
        <s v="Пост управления кнопочный взрывозащищенный с количеством элементов поста до 3, устанавливаемый на конструкции на стене или колонне (ПВК-25ХЛ1)"/>
        <s v="Труба стальная по установленным конструкциям с креплением скобами, диаметр, мм, до 25;40;50"/>
        <s v="Стойка сборных кабельных конструкций (без полок) масса, кг, до 1,6. Полка кабельная, устанавливаемая на стойках массой, кг, до 0,4"/>
        <s v="Рукав металлический, наружный диаметр, мм, до 48 - Шланг электромонтажный"/>
        <s v="Кабели до 35 кВ по установленным конструкциям и лоткам с креплением на поворотах и в конце трассы."/>
        <s v="Заделка для контрольного кабеля "/>
        <s v="Устройство заземления"/>
        <s v="Коробка зажимов, взрывозащищенная (2ЕХЕIIТ5) КЗП3.1-28/6-ВК-25х3"/>
        <s v="ВВГнг-1,0 5х70 мм2"/>
        <s v="ВВГнг-1,0 5х120 мм2"/>
        <s v="Кабель силовой с медной жилой, круглый, не распространяющий горение, ВВГзнг-0,66 3х1,5 мм2"/>
        <s v="ВВГзнг-0,66 4х1,5 мм2"/>
        <s v="ВВГзнг-0,66 4х2,5 мм2"/>
        <s v="ВВГзнг-0,66 5х2,5 мм2"/>
        <s v="ВВГзнг-0,66 5х4 мм2"/>
        <s v=" ВВГзнг-0,66 4х6 мм2"/>
        <s v="ВВГзнг-0,66 4х35 мм2"/>
        <s v=" ВВГзнг-1,0 4х150 мм2"/>
        <s v="0,66 кВ КВВГзнг 4х1,5"/>
        <s v=" 0,66 кВ КВВГзнг 19х1,5"/>
        <s v="Кабель силовой с медной жилой, бронированный, не распространяющий горение ВБбШнг-LS 3х95"/>
        <s v="Муфта концевая термоусаживаемая"/>
        <s v="Трубы стальные сварные водогазопроводные с резьбой черные легкие (неоцинкованные) диаметр условного прохода 25 мм; 32 мм; 50 мм"/>
        <s v="Сборные кабельные конструкции"/>
        <s v="Лотоки  монтажные"/>
        <s v="Крышка лотка прямого,Профиль монтажный К241 ХЛ1, L 2000мм,Муфта трубная МТ32 У2,5Кабельная стяжка из нейлона"/>
        <s v="СТРОИТЕЛЬНЫЕ РАБОТЫ ОГРАЖДЕНИЯ."/>
        <s v="Установка металлических оград по металлическим столбам без цоколя из сетчатых панелей высотой до 2,2 м"/>
        <s v="Изготовление металлических оград в построечных условиях со стоимотью материалов"/>
        <s v="Изготовление стоек в построечных условиях со стоимотью материалов"/>
        <s v="Окраска металлических огрунтованных поверхностей эмалью ПФ-115"/>
        <s v="ОБЩЕПЛОЩАДОЧНЫЕ МАТЕРИАЛЫ. "/>
        <s v="ПЛАНИРОВКА ТЕРРИТОРИИ - 3600М2"/>
        <s v="Планировка площадей бульдозерами мощностью 79 (108) кВт (л.с.)"/>
        <s v="УСТРОЙСТВО ОГРАЖДЕНИЯ - 190М"/>
        <s v="Устройство ворот распашных с установкой столбов металлических"/>
        <s v="БЛАГОУСТРОЙСТВО - 13М2"/>
        <s v="Устройство бетонных плитных тротуаров с заполнением швов цементным растворомсо сть-ю щебня и песка"/>
        <s v="Разработка грунта (торфа) с погрузкой на автомобили-самосвалы экскаваторами.Перевозка торфа, расстояние перевозки 1 км. Перемешивание торфа с песком"/>
        <s v="УСТРОЙСТВО ПРОЕЗДОВ - 1040М2"/>
        <s v="Устройство прослойки из геотекстиля при укреплении откосов со ст-тью геотекстиля"/>
        <s v="Устройство подстилающих и выравнивающих слоев оснований из щебня"/>
        <s v="Устройство оснований из песка с цементом толщиной 0,03 м.Смесь пескоцементная (31,2 м3)"/>
        <s v="Устройство цементобетонных покрытий однослойных средствами малой механизации, толщина слоя 20 см. Бетон тяжелый, класс В25"/>
        <s v="Устроиство дорожных покрытий из сборных железобетонных плит прямоугольных площадью свыше 10,5 м2.Стоимость плит ПДН (86 шт.)"/>
        <s v="АВТОМАТИЗАЦИЮ ПРОИЗВОДСТВА И АСУТП. "/>
        <s v="Термометр биметаллический общепромышленный ТБ-1(0-100)-1,5-160-10-М20"/>
        <s v="Термопреобразователь ТСМУ Метран-274-02-ЕХiА-160"/>
        <s v="Термопреобразователь ТСМУ Метран-274-02-ЕХiА-250"/>
        <s v="Термопреобразователь ТСМУ Метран-274-02-ЕХiА-60"/>
        <s v="Датчик температуры накладной для измерения температуры поверхности трубопроводов КДТ-200.1"/>
        <s v="Манометр показывающий МП4-У"/>
        <s v="Манометр показывающий сигнализирующий во взрывозащищенном исполнении ДМ2005Сr1ЕХ"/>
        <s v="Датчик давления тензорезистивный РМР51-90Н7/101 в комплекте: преобразователь давления СЕrАВАr М РМР51, 2-х вентильныЙ блок 2052СDАDАВАА, переходник С0520/34/01"/>
        <s v="Преобразователь магнитный поплавковый ПМП-152-W5-В-1655-НР"/>
        <s v="Преобразователь магнитный поплавковый ПМП-152-2W5-Н-В-3140-1855-НР"/>
        <s v="Преобразователь магнитный поплавковый ПМП-152-W5-В-1220-НР"/>
        <s v="Преобразователь магнитный поплавковый ПМП-152-2W5-Н-В-3700-1420-НР"/>
        <s v="Ротаметр Н250/М9"/>
        <s v="Датчик расхода ДРГ.МЗЛ-100"/>
        <s v="Датчик расхода конденсатоустойчивый ДРГ.М-2500 в комплекте: датчик давления АИР-20, датчик температуры ТСПУ, КМЧ"/>
        <s v="Датчик расхода ДРГ.М-160 конденсатоустойчивый в комплекте: датчик давления АИР-20, датчик температуры ТСПУ, КМЧ"/>
        <s v="Датчик расхода ДРС-25Г в комплекте с блоком преобразования измерительным БПИ.01.1 и КМЧ"/>
        <s v="Детектор горючих газов SЕnsЕРОinТ (в комплекте с контроллером СГМ-110, модулем архивирования и программирования МАП-СГМ-110/D)"/>
        <s v="Обогреватель ОУР-ПЛ-1"/>
        <s v="Пост управления кнопочный взрывозащищенный ВУУК-1КН"/>
        <s v="КОМПЛЕКСЫ СРЕДСТВ АВТОМАТИЗАЦИИ"/>
        <s v="СУ РСУТП"/>
        <s v="Шкаф Риттал (800х2200х600 мм) арт.№ ТS 8826.500"/>
        <s v="Процессор СОnТrОlLОgiХ 1756-L63"/>
        <s v="Шасси на 10 слотов 1756-А10"/>
        <s v="Шасси на 7 слотов 1756-А7"/>
        <s v="Источник питания панелей контроллера 1756-РА75/В"/>
        <s v="Модуль связи ЕТНЕrNЕТ/IР 1756-ЕNВТ"/>
        <s v="Модуль связи СОnТrОlNЕТ 1756-СNВR"/>
        <s v="Модуль аналоговых входных сигналов 1756-IF16"/>
        <s v="Модуль дискретных входов 10-30V пост. тока 1756-IВ32"/>
        <s v="Модуль дискретных входов 159-265V перем. тока 1756-IМ161"/>
        <s v="Модуль дискретных выходов 220V перем. тока 1756-ОХ81"/>
        <s v="Модуль связи по протоколу МОdВus"/>
        <s v="Модуль-заглушка 1756-N2"/>
        <s v="Карта памяти 64 МВ 1784-СF64"/>
        <s v="Колодка клеммная на 36 винтовых клемм 1756-ТВСН"/>
        <s v="Т-ответвитель прямой 1786-ТRS"/>
        <s v="Терминатор сегмента оконечный 1786-ХТ"/>
        <s v="СУ ПАЗ"/>
        <s v="Модуль дискретных выходов 24 V пост. тока 1756-ОВ16D"/>
        <s v="ШКАФ КОМПЬЮТЕРНОГО ОБОРУДОВАНИЯ ШКО №1"/>
        <s v="Сетевой шкаф RiТТАl Арт.№ ТЕ 4000.850"/>
        <s v="Блок вентиляторов с 2-мя вентиляторами и термостатом Арт. № ТЕ 7000.670"/>
        <s v="Приборная полка для тяжелого оборудования Атр. № 7063.897"/>
        <s v="Монтажный комплект с изменяемой глубиной Арт. № 7063.890"/>
        <s v="Сервер ввода-вывода НР РrОLiАnТ DL380 G6 SЕrvЕr sЕriЕs"/>
        <s v="Коммутационный процессор СР5613 А2"/>
        <s v="Сервер-WЕВ SТrАТus fТSЕrvЕr 2600"/>
        <s v="Сервер баз данных SТrАТus fТSЕrvЕr 2600"/>
        <s v="Переключатель клавиатуры АТЕN СL1008"/>
        <s v="Коммутатор СisСО С3750G-24NS"/>
        <s v="ШКАФ КОМПЬЮТЕРНОГО ОБОРУДОВАНИЯ ШКО №2"/>
        <s v="Системный блок 19&quot; IRОВО-2000-4335"/>
        <s v="Удлинитель монитор-клавиатура АddЕr-linК-Х-usВ-А"/>
        <s v="Патч-панель РР-19-24-8Р8С-С5е-110D"/>
        <s v="ЭЛЕКТРОАППАРАТЫ, УСТАНАВЛИВАЕМЫЕ В ЩИТАХ, ПУЛЬТАХ, СТАТИВАХ"/>
        <s v="Вентилятор потолдочный радиальный RiТТАl атр.№ SК 3149.007"/>
        <s v="Терморегулятор RiТТАl арт.№ SК 3110.000"/>
        <s v="Реле ЕМG 17-RЕL/КSR-W230/21-21-LС1 РНОЕniХ СОnТАСТ"/>
        <s v="Блок питания QUINТ-РS-100-24ОАС/24DС/5 РНОЕniХ СОnТАСТ"/>
        <s v="Модуль резервирования QUINТ-DIОDЕ/40 РНОЕniХ СОnТАСТ"/>
        <s v="Искробезопасный усилитель с развязкой по току РI-ЕХ-АIS-I/I"/>
        <s v="Реле РR2-RSС3-LDР-24DС/2Х21 РНОЕniХ СОnТАСТ"/>
        <s v="КШО №1"/>
        <s v="Источник бесперебойного питания АРС SМАrТ-UРS RТ 6000 VА RV 230 V"/>
        <s v="Модуль батарей SURТ192RVХLВР ВАТТЕrУ UniТ"/>
        <s v="КШО №2"/>
        <s v="Термометр биметаллический общепромышленный ТБ-1"/>
        <s v="Термопреобразователь ТСМУ Метран-274-02-Exia"/>
        <s v="Гильза защитная 2001-02"/>
        <s v="Датчик температуры накладной, для измерения температуры поверхности трубопроводов КДТ-200.1"/>
        <s v="Манометр показывающий МП-4У"/>
        <s v="Манометр показывающий сигнализирующий во взрывозащищенном исполнении ДМ2005Cr1Ex"/>
        <s v="Датчик давления тензорезистивный РМР51-90Н7/101 Serabar M PMP51"/>
        <s v="Преобразователь магнитный поплавковый ПМП-152"/>
        <s v="Датчик расхода конденсатоустойчивый ДРГ.М-2500"/>
        <s v="Датчик давления АИР-20, датчик температуры ТСПУ"/>
        <s v="Датчик расхода конденсатоустойчивый ДРГ.М-160"/>
        <s v="Датчик расхода ДРС-25Г"/>
        <s v="Блок преобразования измериретльный БПИ-01.1"/>
        <s v="Контроллер Миконт-186"/>
        <s v="Монтаж детектора горючих газов Контроллер Sensepoint"/>
        <s v="Контроллер СГМ-110-В/D"/>
        <s v="Модуль архивирования и программирования МАП-СГМ-110/D"/>
        <s v="Пост управления кнопочный взрывозащищенный (количество кнопок поста 1 - ВУУК-1КН"/>
        <s v="Световой оповещатель взрывобезопасного наружного исполнения ВС-4-С-24В"/>
        <s v="Сирена взрывозащищенного наружного исполнения ВС-3-П-24В"/>
        <s v="Шкаф Риттал (800х2200х600 мм)Арт.№ NS 8826.500"/>
        <s v="Приборы, устанавливаемые на металлоконструкциях, щитах и пультах, масса до 10 кг -- Процессор ControlLogix 1756-L63"/>
        <s v="Съемные и выдвижные блоки (модули, ячейки, ТЭЗ), масса до 5 кг -- Установка модулей комплекса автоматизации и электроаппаратов на щите"/>
        <s v="Вентилятор радиальный с электродвигателем на одной оси, масса до 0,05 т -- Вентилятор потолочный Арт.№ SK 3149.007"/>
        <s v="Установка терморегулятора Rittal арт.№ SK 3110.000"/>
        <s v="Светильник отдельно устанавливаемый на штырях с количеством ламп в светильнике 1 -- Светильник ЛПБ2001"/>
        <s v="Выключатель одноклавишный неутопленного типа при открытой проводке -- Выключатель двери концевой Rittal Арт.№ SZ 4127.000"/>
        <s v="Проводник заземляющий из медного изолированного провода сечением 25 мм2 открыто по строительным основаниям -- Шина заземления Rittal Арт.№ DK 7113.000"/>
        <s v="Розетка штепсельная неутопленного типа при открытой проводке -- Розетка EMG 45-SD-D/LA/S1"/>
        <s v="Автомат одно-, двух-, трехполюсный, устанавливаемый на конструкции на стене или колонне, на ток до 25 А"/>
        <s v="Приборы, устанавливаемые на металлоконструкциях, щитах и пультах, масса до 10 кг -- Процессор ControlLogix 1756-L61"/>
        <s v="Проводник заземляющий  -- Шина заземления Rittal Арт.№ DK 7113.000"/>
        <s v="Шкаф сетевой Риттал Арт.№ ТЕ 7000.800"/>
        <s v="Блок вентиляторов Арт. № ТЕ 7000.670"/>
        <s v="Сервер ввода-вывода НР ProLiant DL380 G6 Server series"/>
        <s v=" Коммутационный процессор CP5613 A2; Сервер-Web Stratus ftServer 2600; Сервер баз данных Stratus ftServer 2600"/>
        <s v="Переключатель клавиатуры ATEN CL1008"/>
        <s v=" Коммутатор Cisco C3750G-24NS"/>
        <s v="Светильник ЛПБ2001"/>
        <s v="Выключатель двери концевой Rittal Арт.№ SZ 4127.000"/>
        <s v="Шина заземления Rittal Арт.№ DK 7113.000"/>
        <s v=" Установка электроаппаратов на щите"/>
        <s v="Системный блок IROBO-2000-4335 и   Патч-панель РР-19-24-8Р8С-С5е-110D"/>
        <s v=" Светильник ЛПБ2001  и  Выключатель двери концевой Rittal Арт.№ SZ 4127.000"/>
        <s v=" Шина заземления Rittal Арт.№ DK 7113.000"/>
        <s v="Электрические проводки в щитах и пультах шкафных и панельных"/>
        <s v="Коробка (ящик) с зажимами для кабелей и проводов "/>
        <s v="Короб металлический на конструкциях, кронштейнах; Кабель-канал перфорированный "/>
        <s v="Труба стальная во взрывоопасных и пожароопасных помещениях; Металлорукав наружным диаметром, мм, до 48"/>
        <s v="Кабель до 35 кВ в проложенных трубах, блоках и коробах, масса 1 м кабеля до 1 кг"/>
        <s v="Присоединение под винт с изготовлением колец"/>
        <s v="Проводник заземляющий из провода сечением до 25 мм2 открыто по строительным основаниям"/>
        <s v="Программное обеспечение верхнего уровня ПО ВУ"/>
        <s v="Гильзы защитные 2001-02-М20х1,5"/>
        <s v="Светильник ЛПБ2001 13 Вт"/>
        <s v="Выключатель двери концевой RiТТАl Арт.№ SZ 4127.000"/>
        <s v="Шина заземления RiТТАl Арт.№ DК 7113.000"/>
        <s v="Розетка ЕМG 45-SD-D/LА/S1(3шт); Клемма UТ"/>
        <s v="Ограничитель стопорный на DIN-рейку СLIРFIХ 35-5; Перегородка разделяющая ТRN-UК; Перегородка разделяющая ТRN-UК"/>
        <s v="Выключатель автоматический 5SХ2 216-6 16А"/>
        <s v="Блок розеток Провенто SО 08 ISS; Клемма UТ"/>
        <s v="Кабель РRОFIВUS FС с оболочкой, не выделяющей вредных веществ при горении"/>
        <s v="Кабель контрольный КВВГнг 4х1,0"/>
        <s v="Кабель контрольный КВВГнг 7х1,0"/>
        <s v="Кабель контрольный КВВГнг 10х1,0"/>
        <s v="Кабель контрольный КВВГнг 14х1,0"/>
        <s v="Кабель контрольный КВВБГ 14х1,5"/>
        <s v="Кабель контрольный КВВБГ 19х1,5"/>
        <s v="Кабель контрольный КВВГЭнг 4х1,0"/>
        <s v="Кабель контрольный КВВГнг 3х1,5"/>
        <s v="Провод с медной жилой повышенной гибкости, с поливинилхлоридной изоляцией марки ПВ3"/>
        <s v="Патч-корд &quot;витая пара&quot; FТР САТ.5/5Е, RJ45 н/экр. - RJ45 экр. 2 м"/>
        <s v="Трубы стальные сварные водогазопроводные с резьбой"/>
        <s v="Металлорукав РЗ-Ц-Х-12 У1"/>
        <s v="Коробка соединительная взрывозащищенная КЗП3.2-16/12-(ВК-12)х3(А)-(ВК- 25)х1(В)-(ВК-12)х3(С)-(ВК-12)х 1(D)-В1,5"/>
        <s v="Коробка соединительная взрывозащищенная КЗП3.2-16/12-(ВК-12)х1(А)-(ВК- 25)х1(В)-(ВК-12)х1(С)-(ВК-12)х 1(D)-В1,5"/>
        <s v="Термочехол для ОУР-ПЛ-1"/>
        <s v="Вентиль манометрический ВМ5х35"/>
        <s v="Короб металлический (оцинкованный): секция прямая СП 100х100х2000 (525); секция угловая СУ 100х100 (24); секция тройниковая СТ 100х100(15)"/>
        <s v="Кабель-канал перфорированный 40х25 СКК50-040-025-1-К03;  40х40 СКК50-040-040-1-К03"/>
        <s v="АСУТП ПОЖАРОТУШЕНИЯ И ВОДОСНАБЖЕНИЯ"/>
        <s v="Термопреобразователь ТСМУ Метран-274-02-ЕХiА-400"/>
        <s v="Преобразователь магнитный поплавковый ПМП-152-3W5-НА-Н-В-2750-630-НР"/>
        <s v="Термопреобразователь ТСМУ Метран-274-02-400"/>
        <s v=" Монтаж.Гильза защитная 2001-02-М20х1,5-Н10-400"/>
        <s v="Гильза защитная 2001-02-М20х1,5-Н-400"/>
        <s v="Приборы, устанавливаемые на фланцевых соединениях.  -- Монтаж датчика КДТ-200.1"/>
        <s v="ЛИНИЯ ПЕРЕДАЧИ ДАННЫХ. "/>
        <s v="Шасси оптических конвертеров DМС-1000"/>
        <s v="Конвертер оптический DМС-1910Т"/>
        <s v="Конвертер оптический DМС-1910R"/>
        <s v="Шасси оптических конвертеров DMC-1000"/>
        <s v=" Монтаж.Конвертеры оптические DMC-1910Т, DMC-1910R"/>
        <s v="Кабель, прокладываемы в трубах, блоках или коробах"/>
        <s v="Разъем SС"/>
        <s v="Кабель оптический ЭКБ-ДПО-П-4А 1,5кН"/>
        <s v="ВСЕГО:"/>
        <s v="в том числе:"/>
        <s v="СМР "/>
        <s v="Материалы пост. Заказчика"/>
        <s v="Материалы иждивен. Подрядчика"/>
        <s v="КРОМЕ ТОГО:"/>
        <s v="Оборудование Заказчика &quot;в монтаж&quot;"/>
        <s v="Оборудование иждивен. Подрядчика"/>
        <s v="ВСЕГО С ОБОРУДОВАНИЕМ:"/>
        <s v="в том числе: материалы поставки Заказчика"/>
        <s v="кроме того"/>
        <s v="в том числе: оборудование поставки Заказчика"/>
      </sharedItems>
    </cacheField>
    <cacheField name="4" numFmtId="0">
      <sharedItems containsBlank="1" containsMixedTypes="1" containsNumber="1" containsInteger="1" minValue="100" maxValue="100" count="30">
        <m/>
        <s v="м3"/>
        <s v="шт"/>
        <s v="100м2"/>
        <s v="т"/>
        <s v="м"/>
        <s v="100м3"/>
        <s v="м2"/>
        <s v="1000м3"/>
        <s v="100ям"/>
        <s v="100м"/>
        <s v="шт."/>
        <s v="10 шт"/>
        <s v="1 м3"/>
        <s v="1м3"/>
        <s v="100 ям"/>
        <s v="стык"/>
        <s v="снимок"/>
        <s v="10м"/>
        <s v="км"/>
        <s v="задвижка"/>
        <s v="компл"/>
        <s v="подст."/>
        <s v="100шт"/>
        <s v="10шт"/>
        <s v="1000м2"/>
        <s v="10м2"/>
        <n v="100"/>
        <s v="шт "/>
        <s v="1000м"/>
      </sharedItems>
    </cacheField>
    <cacheField name="5" numFmtId="0">
      <sharedItems containsString="0" containsNumber="1"/>
    </cacheField>
    <cacheField name="6" numFmtId="0">
      <sharedItems containsString="0" containsNumber="1"/>
    </cacheField>
    <cacheField name="7_1" numFmtId="0">
      <sharedItems containsString="0" containsNumber="1"/>
    </cacheField>
    <cacheField name="7_2" numFmtId="0">
      <sharedItems containsString="0" containsNumber="1"/>
    </cacheField>
    <cacheField name="7_3" numFmtId="0">
      <sharedItems containsString="0" containsNumber="1"/>
    </cacheField>
    <cacheField name="7_4" numFmtId="0">
      <sharedItems containsString="0" containsNumber="1"/>
    </cacheField>
    <cacheField name="7" numFmtId="0">
      <sharedItems containsString="0" containsNumber="1"/>
    </cacheField>
    <cacheField name="а" numFmtId="0">
      <sharedItems containsBlank="1" count="2">
        <m/>
        <s v="+"/>
      </sharedItems>
    </cacheField>
    <cacheField name="б" numFmtId="0">
      <sharedItems containsBlank="1" count="4">
        <s v=""/>
        <s v="Заказчика"/>
        <s v="Подрядчика"/>
        <m/>
      </sharedItems>
    </cacheField>
    <cacheField name="в" numFmtId="0">
      <sharedItems containsString="0" containsBlank="1" containsNumber="1" containsInteger="1" minValue="0" maxValue="2933471" count="30">
        <n v="0"/>
        <n v="15729"/>
        <n v="223761"/>
        <n v="75635"/>
        <n v="12461"/>
        <n v="49745"/>
        <n v="2053429"/>
        <n v="1320063"/>
        <n v="1760084"/>
        <n v="93911"/>
        <n v="17905"/>
        <n v="106479"/>
        <n v="116579"/>
        <n v="65344"/>
        <n v="132358"/>
        <n v="33161"/>
        <n v="205564"/>
        <n v="47270"/>
        <n v="49840"/>
        <n v="59889"/>
        <n v="212503"/>
        <n v="9453"/>
        <n v="24923"/>
        <n v="1058928"/>
        <n v="469353"/>
        <n v="2933471"/>
        <n v="1670"/>
        <n v="104506"/>
        <n v="59400"/>
        <m/>
      </sharedItems>
    </cacheField>
    <cacheField name="г" numFmtId="0">
      <sharedItems containsBlank="1" count="39">
        <m/>
        <s v="'02-01"/>
        <s v="'02-01-01"/>
        <s v="'02-01-02"/>
        <s v="'02-01-03"/>
        <s v="'02-01-04"/>
        <s v="'02-01-05"/>
        <s v="'02-01-06"/>
        <s v="'02-01-07"/>
        <s v="'02-01-08"/>
        <s v="'02-01-09"/>
        <s v="'02-01-10"/>
        <s v="'02-01-11"/>
        <s v="'02-01-12"/>
        <s v="'02-01-13"/>
        <s v="'02-01-14"/>
        <s v="'02-01-15"/>
        <s v="'02-01-16"/>
        <s v="'02-01-17"/>
        <s v="'02-01-18"/>
        <s v="'02-01-19"/>
        <s v="'02-01-20"/>
        <s v="'02-01-21"/>
        <s v="'02-01-22"/>
        <s v="'02-01-23"/>
        <s v="'02-01-24"/>
        <s v="'02-01-25"/>
        <s v="'02-01-26"/>
        <s v="'02-01-27"/>
        <s v="'02-01-28"/>
        <s v="'02-01-29"/>
        <s v="'02-01-30"/>
        <s v="'02-01-31"/>
        <s v="'02-01-32"/>
        <s v="'02-01-33"/>
        <s v="'02-02-01"/>
        <s v="'02-02-02"/>
        <s v="'02-03-01"/>
        <s v="'СТРОИТЕЛЬСТВО УСТАНОВКИ ПРЕДВАРИТЕЛЬНОЙ ПОДГОТОВКИ ГАЗА 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СводнаяТаблица1" cacheId="0" applyNumberFormats="0" applyBorderFormats="0" applyFontFormats="0" applyPatternFormats="0" applyAlignmentFormats="0" applyWidthHeightFormats="1" dataCaption="Данные" updatedVersion="2" asteriskTotals="1" showMemberPropertyTips="0" useAutoFormatting="1" itemPrintTitles="1" createdVersion="1" indent="0" compact="0" compactData="0" gridDropZones="1">
  <location ref="B5:E106" firstHeaderRow="1" firstDataRow="2" firstDataCol="2" rowPageCount="1" colPageCount="1"/>
  <pivotFields count="9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 defaultSubtotal="0">
      <items count="99">
        <item x="73"/>
        <item x="88"/>
        <item x="30"/>
        <item x="29"/>
        <item x="28"/>
        <item x="27"/>
        <item x="26"/>
        <item x="24"/>
        <item x="25"/>
        <item x="2"/>
        <item x="85"/>
        <item x="14"/>
        <item x="16"/>
        <item x="17"/>
        <item x="15"/>
        <item x="41"/>
        <item x="49"/>
        <item x="47"/>
        <item x="50"/>
        <item x="48"/>
        <item x="38"/>
        <item x="51"/>
        <item x="13"/>
        <item x="90"/>
        <item x="92"/>
        <item x="58"/>
        <item x="67"/>
        <item x="7"/>
        <item x="68"/>
        <item x="81"/>
        <item x="77"/>
        <item x="21"/>
        <item x="98"/>
        <item x="97"/>
        <item x="22"/>
        <item x="9"/>
        <item x="10"/>
        <item x="11"/>
        <item x="39"/>
        <item x="40"/>
        <item x="23"/>
        <item x="61"/>
        <item x="93"/>
        <item x="62"/>
        <item x="63"/>
        <item x="64"/>
        <item x="71"/>
        <item x="89"/>
        <item x="59"/>
        <item x="65"/>
        <item x="60"/>
        <item x="66"/>
        <item x="75"/>
        <item x="52"/>
        <item x="4"/>
        <item x="5"/>
        <item x="84"/>
        <item x="3"/>
        <item x="80"/>
        <item x="33"/>
        <item x="53"/>
        <item x="43"/>
        <item x="45"/>
        <item x="95"/>
        <item x="44"/>
        <item x="42"/>
        <item x="74"/>
        <item x="55"/>
        <item x="87"/>
        <item x="91"/>
        <item x="32"/>
        <item x="46"/>
        <item x="79"/>
        <item x="76"/>
        <item x="78"/>
        <item x="72"/>
        <item x="82"/>
        <item x="8"/>
        <item x="0"/>
        <item x="6"/>
        <item x="1"/>
        <item x="70"/>
        <item x="34"/>
        <item x="35"/>
        <item x="36"/>
        <item x="94"/>
        <item x="37"/>
        <item x="86"/>
        <item x="69"/>
        <item x="83"/>
        <item x="31"/>
        <item x="18"/>
        <item x="19"/>
        <item x="56"/>
        <item x="57"/>
        <item x="96"/>
        <item x="54"/>
        <item x="20"/>
        <item x="12"/>
      </items>
    </pivotField>
    <pivotField axis="axisRow" compact="0" outline="0" subtotalTop="0" showAll="0" includeNewItemsInFilter="1" defaultSubtotal="0">
      <items count="5">
        <item m="1" x="4"/>
        <item x="3"/>
        <item x="2"/>
        <item x="0"/>
        <item x="1"/>
      </items>
    </pivotField>
    <pivotField dataField="1" compact="0" outline="0" subtotalTop="0" showAll="0" includeNewItemsInFilter="1"/>
    <pivotField axis="axisPage" compact="0" numFmtId="166" outline="0" subtotalTop="0" showAll="0" includeNewItemsInFilter="1" defaultSubtotal="0">
      <items count="110">
        <item x="14"/>
        <item x="18"/>
        <item x="20"/>
        <item x="19"/>
        <item x="15"/>
        <item x="16"/>
        <item x="17"/>
        <item x="5"/>
        <item x="21"/>
        <item x="99"/>
        <item x="77"/>
        <item x="69"/>
        <item x="67"/>
        <item x="35"/>
        <item x="4"/>
        <item x="40"/>
        <item x="33"/>
        <item x="92"/>
        <item x="94"/>
        <item x="39"/>
        <item x="105"/>
        <item x="90"/>
        <item x="26"/>
        <item x="34"/>
        <item x="54"/>
        <item x="95"/>
        <item x="38"/>
        <item x="36"/>
        <item x="104"/>
        <item x="70"/>
        <item x="31"/>
        <item x="53"/>
        <item x="71"/>
        <item x="30"/>
        <item x="8"/>
        <item x="25"/>
        <item x="37"/>
        <item x="27"/>
        <item x="80"/>
        <item x="88"/>
        <item x="81"/>
        <item x="89"/>
        <item x="43"/>
        <item x="45"/>
        <item x="44"/>
        <item x="46"/>
        <item x="98"/>
        <item x="106"/>
        <item x="97"/>
        <item x="68"/>
        <item x="79"/>
        <item x="29"/>
        <item x="109"/>
        <item x="96"/>
        <item x="32"/>
        <item x="107"/>
        <item x="41"/>
        <item x="100"/>
        <item x="28"/>
        <item x="108"/>
        <item x="93"/>
        <item x="66"/>
        <item x="65"/>
        <item x="63"/>
        <item x="91"/>
        <item x="58"/>
        <item x="64"/>
        <item x="57"/>
        <item x="55"/>
        <item x="86"/>
        <item x="103"/>
        <item x="102"/>
        <item x="59"/>
        <item x="73"/>
        <item x="42"/>
        <item x="12"/>
        <item x="3"/>
        <item x="78"/>
        <item x="52"/>
        <item x="13"/>
        <item x="50"/>
        <item x="60"/>
        <item x="74"/>
        <item x="61"/>
        <item x="51"/>
        <item x="87"/>
        <item x="47"/>
        <item x="49"/>
        <item x="101"/>
        <item x="83"/>
        <item x="7"/>
        <item x="24"/>
        <item x="48"/>
        <item x="22"/>
        <item x="72"/>
        <item x="82"/>
        <item x="9"/>
        <item x="85"/>
        <item x="84"/>
        <item x="56"/>
        <item x="76"/>
        <item x="11"/>
        <item x="0"/>
        <item x="10"/>
        <item x="1"/>
        <item x="6"/>
        <item x="2"/>
        <item x="23"/>
        <item x="62"/>
        <item x="75"/>
      </items>
    </pivotField>
    <pivotField dataField="1" compact="0" numFmtId="168" outline="0" subtotalTop="0" showAll="0" includeNewItemsInFilter="1"/>
    <pivotField compact="0" outline="0" subtotalTop="0" showAll="0" includeNewItemsInFilter="1"/>
  </pivotFields>
  <rowFields count="2">
    <field x="3"/>
    <field x="4"/>
  </rowFields>
  <rowItems count="100">
    <i>
      <x/>
      <x v="3"/>
    </i>
    <i>
      <x v="1"/>
      <x v="3"/>
    </i>
    <i>
      <x v="2"/>
      <x v="3"/>
    </i>
    <i>
      <x v="3"/>
      <x v="3"/>
    </i>
    <i>
      <x v="4"/>
      <x v="3"/>
    </i>
    <i>
      <x v="5"/>
      <x v="3"/>
    </i>
    <i>
      <x v="6"/>
      <x v="3"/>
    </i>
    <i>
      <x v="7"/>
      <x v="3"/>
    </i>
    <i>
      <x v="8"/>
      <x v="3"/>
    </i>
    <i>
      <x v="9"/>
      <x v="3"/>
    </i>
    <i>
      <x v="10"/>
      <x v="3"/>
    </i>
    <i>
      <x v="11"/>
      <x v="3"/>
    </i>
    <i>
      <x v="12"/>
      <x v="3"/>
    </i>
    <i>
      <x v="13"/>
      <x v="3"/>
    </i>
    <i>
      <x v="14"/>
      <x v="3"/>
    </i>
    <i>
      <x v="15"/>
      <x v="3"/>
    </i>
    <i>
      <x v="16"/>
      <x v="1"/>
    </i>
    <i>
      <x v="17"/>
      <x v="1"/>
    </i>
    <i>
      <x v="18"/>
      <x v="1"/>
    </i>
    <i>
      <x v="19"/>
      <x v="1"/>
    </i>
    <i>
      <x v="20"/>
      <x v="3"/>
    </i>
    <i>
      <x v="21"/>
      <x v="3"/>
    </i>
    <i>
      <x v="22"/>
      <x v="3"/>
    </i>
    <i>
      <x v="23"/>
      <x v="3"/>
    </i>
    <i>
      <x v="24"/>
      <x v="3"/>
    </i>
    <i>
      <x v="25"/>
      <x v="3"/>
    </i>
    <i>
      <x v="26"/>
      <x v="3"/>
    </i>
    <i>
      <x v="27"/>
      <x v="3"/>
    </i>
    <i>
      <x v="28"/>
      <x v="3"/>
    </i>
    <i>
      <x v="29"/>
      <x v="3"/>
    </i>
    <i>
      <x v="30"/>
      <x v="3"/>
    </i>
    <i>
      <x v="31"/>
      <x v="4"/>
    </i>
    <i>
      <x v="32"/>
      <x v="3"/>
    </i>
    <i>
      <x v="33"/>
      <x v="3"/>
    </i>
    <i>
      <x v="34"/>
      <x v="3"/>
    </i>
    <i>
      <x v="35"/>
      <x v="3"/>
    </i>
    <i>
      <x v="36"/>
      <x v="3"/>
    </i>
    <i>
      <x v="37"/>
      <x v="3"/>
    </i>
    <i>
      <x v="38"/>
      <x v="3"/>
    </i>
    <i>
      <x v="39"/>
      <x v="3"/>
    </i>
    <i>
      <x v="40"/>
      <x v="2"/>
    </i>
    <i>
      <x v="41"/>
      <x v="3"/>
    </i>
    <i>
      <x v="42"/>
      <x v="3"/>
    </i>
    <i>
      <x v="43"/>
      <x v="3"/>
    </i>
    <i>
      <x v="44"/>
      <x v="3"/>
    </i>
    <i>
      <x v="45"/>
      <x v="3"/>
    </i>
    <i>
      <x v="46"/>
      <x v="3"/>
    </i>
    <i>
      <x v="47"/>
      <x v="3"/>
    </i>
    <i>
      <x v="48"/>
      <x v="3"/>
    </i>
    <i>
      <x v="49"/>
      <x v="3"/>
    </i>
    <i>
      <x v="50"/>
      <x v="3"/>
    </i>
    <i>
      <x v="51"/>
      <x v="3"/>
    </i>
    <i>
      <x v="52"/>
      <x v="3"/>
    </i>
    <i>
      <x v="53"/>
      <x v="3"/>
    </i>
    <i>
      <x v="54"/>
      <x v="3"/>
    </i>
    <i>
      <x v="55"/>
      <x v="3"/>
    </i>
    <i>
      <x v="56"/>
      <x v="3"/>
    </i>
    <i>
      <x v="57"/>
      <x v="3"/>
    </i>
    <i>
      <x v="58"/>
      <x v="3"/>
    </i>
    <i>
      <x v="59"/>
      <x v="3"/>
    </i>
    <i>
      <x v="60"/>
      <x v="3"/>
    </i>
    <i>
      <x v="61"/>
      <x v="3"/>
    </i>
    <i>
      <x v="62"/>
      <x v="3"/>
    </i>
    <i>
      <x v="63"/>
      <x v="3"/>
    </i>
    <i>
      <x v="64"/>
      <x v="3"/>
    </i>
    <i>
      <x v="65"/>
      <x v="3"/>
    </i>
    <i>
      <x v="66"/>
      <x v="3"/>
    </i>
    <i>
      <x v="67"/>
      <x v="3"/>
    </i>
    <i>
      <x v="68"/>
      <x v="3"/>
    </i>
    <i>
      <x v="69"/>
      <x v="3"/>
    </i>
    <i>
      <x v="70"/>
      <x v="3"/>
    </i>
    <i>
      <x v="71"/>
      <x v="3"/>
    </i>
    <i>
      <x v="72"/>
      <x v="3"/>
    </i>
    <i>
      <x v="73"/>
      <x v="3"/>
    </i>
    <i>
      <x v="74"/>
      <x v="3"/>
    </i>
    <i>
      <x v="75"/>
      <x v="3"/>
    </i>
    <i>
      <x v="76"/>
      <x v="3"/>
    </i>
    <i>
      <x v="77"/>
      <x v="3"/>
    </i>
    <i>
      <x v="78"/>
      <x v="3"/>
    </i>
    <i>
      <x v="79"/>
      <x v="3"/>
    </i>
    <i>
      <x v="80"/>
      <x v="3"/>
    </i>
    <i>
      <x v="81"/>
      <x v="3"/>
    </i>
    <i>
      <x v="82"/>
      <x v="3"/>
    </i>
    <i>
      <x v="83"/>
      <x v="3"/>
    </i>
    <i>
      <x v="84"/>
      <x v="3"/>
    </i>
    <i>
      <x v="85"/>
      <x v="3"/>
    </i>
    <i>
      <x v="86"/>
      <x v="3"/>
    </i>
    <i>
      <x v="87"/>
      <x v="3"/>
    </i>
    <i>
      <x v="88"/>
      <x v="3"/>
    </i>
    <i>
      <x v="89"/>
      <x v="3"/>
    </i>
    <i>
      <x v="90"/>
      <x v="3"/>
    </i>
    <i>
      <x v="91"/>
      <x v="3"/>
    </i>
    <i>
      <x v="92"/>
      <x v="3"/>
    </i>
    <i>
      <x v="93"/>
      <x v="3"/>
    </i>
    <i>
      <x v="94"/>
      <x v="3"/>
    </i>
    <i>
      <x v="95"/>
      <x v="3"/>
    </i>
    <i>
      <x v="96"/>
      <x v="3"/>
    </i>
    <i>
      <x v="97"/>
      <x v="3"/>
    </i>
    <i>
      <x v="98"/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6" hier="0"/>
  </pageFields>
  <dataFields count="2">
    <dataField name="Кол-во" fld="5" baseField="0" baseItem="0"/>
    <dataField name="Сумма, руб. без НДС" fld="7" baseField="0" baseItem="0"/>
  </dataFields>
  <formats count="28">
    <format dxfId="50">
      <pivotArea dataOnly="0" labelOnly="1" outline="0" fieldPosition="0">
        <references count="1">
          <reference field="3" count="0"/>
        </references>
      </pivotArea>
    </format>
    <format dxfId="49">
      <pivotArea dataOnly="0" labelOnly="1" outline="0" fieldPosition="0">
        <references count="1">
          <reference field="3" count="0"/>
        </references>
      </pivotArea>
    </format>
    <format dxfId="48">
      <pivotArea type="all" dataOnly="0" outline="0" fieldPosition="0"/>
    </format>
    <format dxfId="47">
      <pivotArea dataOnly="0" grandRow="1" outline="0" fieldPosition="0"/>
    </format>
    <format dxfId="46">
      <pivotArea dataOnly="0" labelOnly="1" outline="0" fieldPosition="0">
        <references count="1">
          <reference field="4294967294" count="0"/>
        </references>
      </pivotArea>
    </format>
    <format dxfId="45">
      <pivotArea dataOnly="0" grandRow="1" outline="0" fieldPosition="0"/>
    </format>
    <format dxfId="44">
      <pivotArea field="3" grandRow="1" outline="0" axis="axisRow" fieldPosition="0">
        <references count="1">
          <reference field="4294967294" count="1" selected="0">
            <x v="0"/>
          </reference>
        </references>
      </pivotArea>
    </format>
    <format dxfId="43">
      <pivotArea field="3" type="button" dataOnly="0" labelOnly="1" outline="0" axis="axisRow" fieldPosition="0"/>
    </format>
    <format dxfId="42">
      <pivotArea field="4" type="button" dataOnly="0" labelOnly="1" outline="0" axis="axisRow" fieldPosition="1"/>
    </format>
    <format dxfId="41">
      <pivotArea field="6" type="button" dataOnly="0" labelOnly="1" outline="0" axis="axisPage" fieldPosition="0"/>
    </format>
    <format dxfId="40">
      <pivotArea dataOnly="0" outline="0" fieldPosition="0">
        <references count="1">
          <reference field="4294967294" count="1">
            <x v="1"/>
          </reference>
        </references>
      </pivotArea>
    </format>
    <format dxfId="39">
      <pivotArea field="3" type="button" dataOnly="0" labelOnly="1" outline="0" axis="axisRow" fieldPosition="0"/>
    </format>
    <format dxfId="38">
      <pivotArea field="4" type="button" dataOnly="0" labelOnly="1" outline="0" axis="axisRow" fieldPosition="1"/>
    </format>
    <format dxfId="37">
      <pivotArea field="6" type="button" dataOnly="0" labelOnly="1" outline="0" axis="axisPage" fieldPosition="0"/>
    </format>
    <format dxfId="36">
      <pivotArea dataOnly="0" labelOnly="1" outline="0" fieldPosition="0">
        <references count="1">
          <reference field="4294967294" count="0"/>
        </references>
      </pivotArea>
    </format>
    <format dxfId="35">
      <pivotArea dataOnly="0" outline="0" fieldPosition="0">
        <references count="1">
          <reference field="4294967294" count="1">
            <x v="1"/>
          </reference>
        </references>
      </pivotArea>
    </format>
    <format dxfId="34">
      <pivotArea dataOnly="0" outline="0" fieldPosition="0">
        <references count="1">
          <reference field="4294967294" count="1">
            <x v="1"/>
          </reference>
        </references>
      </pivotArea>
    </format>
    <format dxfId="33">
      <pivotArea field="3" grandRow="1" outline="0" axis="axisRow" fieldPosition="0">
        <references count="1">
          <reference field="4294967294" count="1" selected="0">
            <x v="1"/>
          </reference>
        </references>
      </pivotArea>
    </format>
    <format dxfId="3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1">
      <pivotArea dataOnly="0" outline="0" fieldPosition="0">
        <references count="1">
          <reference field="4294967294" count="1">
            <x v="0"/>
          </reference>
        </references>
      </pivotArea>
    </format>
    <format dxfId="3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9">
      <pivotArea field="3" type="button" dataOnly="0" labelOnly="1" outline="0" axis="axisRow" fieldPosition="0"/>
    </format>
    <format dxfId="28">
      <pivotArea field="4" type="button" dataOnly="0" labelOnly="1" outline="0" axis="axisRow" fieldPosition="1"/>
    </format>
    <format dxfId="27">
      <pivotArea dataOnly="0" labelOnly="1" outline="0" fieldPosition="0">
        <references count="1">
          <reference field="4294967294" count="0"/>
        </references>
      </pivotArea>
    </format>
    <format dxfId="26">
      <pivotArea field="3" type="button" dataOnly="0" labelOnly="1" outline="0" axis="axisRow" fieldPosition="0"/>
    </format>
    <format dxfId="25">
      <pivotArea field="4" type="button" dataOnly="0" labelOnly="1" outline="0" axis="axisRow" fieldPosition="1"/>
    </format>
    <format dxfId="24">
      <pivotArea dataOnly="0" labelOnly="1" outline="0" fieldPosition="0">
        <references count="1">
          <reference field="4294967294" count="0"/>
        </references>
      </pivotArea>
    </format>
    <format dxfId="23">
      <pivotArea field="3" type="button" dataOnly="0" labelOnly="1" outline="0" axis="axisRow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1000000}" name="СводнаяТаблица2" cacheId="0" applyNumberFormats="0" applyBorderFormats="0" applyFontFormats="0" applyPatternFormats="0" applyAlignmentFormats="0" applyWidthHeightFormats="1" dataCaption="Данные" updatedVersion="2" asteriskTotals="1" showMemberPropertyTips="0" useAutoFormatting="1" itemPrintTitles="1" createdVersion="1" indent="0" compact="0" compactData="0" gridDropZones="1">
  <location ref="G5:K133" firstHeaderRow="1" firstDataRow="2" firstDataCol="3" rowPageCount="1" colPageCount="1"/>
  <pivotFields count="9">
    <pivotField compact="0" outline="0" subtotalTop="0" showAll="0" includeNewItemsInFilter="1"/>
    <pivotField axis="axisRow" compact="0" outline="0" subtotalTop="0" showAll="0" includeNewItemsInFilter="1" sortType="descending" rankBy="0" defaultSubtotal="0">
      <items count="127">
        <item x="0"/>
        <item x="9"/>
        <item x="99"/>
        <item x="100"/>
        <item x="101"/>
        <item x="102"/>
        <item x="103"/>
        <item x="104"/>
        <item x="105"/>
        <item x="106"/>
        <item x="107"/>
        <item x="108"/>
        <item x="10"/>
        <item x="109"/>
        <item x="110"/>
        <item x="111"/>
        <item x="112"/>
        <item x="113"/>
        <item x="114"/>
        <item x="115"/>
        <item x="116"/>
        <item x="117"/>
        <item x="118"/>
        <item x="11"/>
        <item x="119"/>
        <item x="120"/>
        <item x="121"/>
        <item x="122"/>
        <item x="123"/>
        <item x="124"/>
        <item x="125"/>
        <item x="126"/>
        <item x="12"/>
        <item x="13"/>
        <item x="14"/>
        <item x="15"/>
        <item x="16"/>
        <item x="17"/>
        <item x="18"/>
        <item x="1"/>
        <item x="19"/>
        <item x="20"/>
        <item x="21"/>
        <item x="22"/>
        <item x="23"/>
        <item x="24"/>
        <item x="25"/>
        <item x="26"/>
        <item x="27"/>
        <item x="28"/>
        <item x="2"/>
        <item x="29"/>
        <item x="30"/>
        <item x="31"/>
        <item x="32"/>
        <item x="33"/>
        <item x="34"/>
        <item x="35"/>
        <item x="36"/>
        <item x="37"/>
        <item x="38"/>
        <item x="3"/>
        <item x="39"/>
        <item x="40"/>
        <item x="41"/>
        <item x="42"/>
        <item x="43"/>
        <item x="44"/>
        <item x="45"/>
        <item x="46"/>
        <item x="47"/>
        <item x="48"/>
        <item x="4"/>
        <item x="49"/>
        <item x="50"/>
        <item x="51"/>
        <item x="52"/>
        <item x="53"/>
        <item x="54"/>
        <item x="55"/>
        <item x="56"/>
        <item x="57"/>
        <item x="58"/>
        <item x="5"/>
        <item x="59"/>
        <item x="60"/>
        <item x="61"/>
        <item x="62"/>
        <item x="63"/>
        <item x="64"/>
        <item x="65"/>
        <item x="66"/>
        <item x="67"/>
        <item x="68"/>
        <item x="6"/>
        <item x="69"/>
        <item x="70"/>
        <item x="71"/>
        <item x="72"/>
        <item x="73"/>
        <item x="74"/>
        <item x="75"/>
        <item x="76"/>
        <item x="77"/>
        <item x="78"/>
        <item x="7"/>
        <item x="79"/>
        <item x="80"/>
        <item x="81"/>
        <item x="82"/>
        <item x="83"/>
        <item x="84"/>
        <item x="85"/>
        <item x="86"/>
        <item x="87"/>
        <item x="88"/>
        <item x="8"/>
        <item x="89"/>
        <item x="90"/>
        <item x="91"/>
        <item x="92"/>
        <item x="93"/>
        <item x="94"/>
        <item x="95"/>
        <item x="96"/>
        <item x="97"/>
        <item x="98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includeNewItemsInFilter="1"/>
    <pivotField axis="axisRow" compact="0" outline="0" subtotalTop="0" showAll="0" includeNewItemsInFilter="1" sortType="descending" rankBy="0" defaultSubtotal="0">
      <items count="99">
        <item x="73"/>
        <item x="88"/>
        <item x="30"/>
        <item x="29"/>
        <item x="28"/>
        <item x="27"/>
        <item x="26"/>
        <item x="24"/>
        <item x="25"/>
        <item x="2"/>
        <item x="85"/>
        <item x="14"/>
        <item x="16"/>
        <item x="17"/>
        <item x="15"/>
        <item x="41"/>
        <item x="49"/>
        <item x="47"/>
        <item x="50"/>
        <item x="48"/>
        <item x="38"/>
        <item x="51"/>
        <item x="13"/>
        <item x="90"/>
        <item x="92"/>
        <item x="58"/>
        <item x="67"/>
        <item x="7"/>
        <item x="68"/>
        <item x="81"/>
        <item x="77"/>
        <item sd="0" x="21"/>
        <item x="98"/>
        <item x="97"/>
        <item x="22"/>
        <item x="9"/>
        <item x="10"/>
        <item x="11"/>
        <item x="39"/>
        <item x="40"/>
        <item x="23"/>
        <item x="61"/>
        <item x="93"/>
        <item x="62"/>
        <item x="63"/>
        <item x="64"/>
        <item x="71"/>
        <item x="89"/>
        <item x="59"/>
        <item x="65"/>
        <item x="60"/>
        <item x="66"/>
        <item x="75"/>
        <item x="52"/>
        <item x="4"/>
        <item x="5"/>
        <item x="84"/>
        <item x="3"/>
        <item x="80"/>
        <item x="33"/>
        <item x="53"/>
        <item x="43"/>
        <item x="45"/>
        <item x="95"/>
        <item x="44"/>
        <item x="42"/>
        <item x="74"/>
        <item sd="0" x="55"/>
        <item x="87"/>
        <item x="91"/>
        <item x="32"/>
        <item x="46"/>
        <item x="79"/>
        <item x="76"/>
        <item x="78"/>
        <item x="72"/>
        <item x="82"/>
        <item x="8"/>
        <item x="0"/>
        <item x="6"/>
        <item x="1"/>
        <item x="70"/>
        <item x="34"/>
        <item x="35"/>
        <item x="36"/>
        <item x="94"/>
        <item x="37"/>
        <item x="86"/>
        <item x="69"/>
        <item x="83"/>
        <item x="31"/>
        <item x="18"/>
        <item x="19"/>
        <item x="56"/>
        <item x="57"/>
        <item x="96"/>
        <item x="54"/>
        <item x="20"/>
        <item x="1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ubtotalTop="0" showAll="0" includeNewItemsInFilter="1" defaultSubtotal="0">
      <items count="5">
        <item m="1" x="4"/>
        <item x="3"/>
        <item x="2"/>
        <item x="0"/>
        <item x="1"/>
      </items>
    </pivotField>
    <pivotField compact="0" outline="0" subtotalTop="0" showAll="0" includeNewItemsInFilter="1"/>
    <pivotField axis="axisPage" dataField="1" compact="0" numFmtId="166" outline="0" subtotalTop="0" showAll="0" includeNewItemsInFilter="1" defaultSubtotal="0">
      <items count="110">
        <item x="14"/>
        <item x="18"/>
        <item x="20"/>
        <item x="19"/>
        <item x="15"/>
        <item x="16"/>
        <item x="17"/>
        <item x="5"/>
        <item x="21"/>
        <item x="99"/>
        <item x="77"/>
        <item x="69"/>
        <item x="67"/>
        <item x="35"/>
        <item x="4"/>
        <item x="40"/>
        <item x="33"/>
        <item x="92"/>
        <item x="94"/>
        <item x="39"/>
        <item x="105"/>
        <item x="90"/>
        <item x="26"/>
        <item x="34"/>
        <item x="54"/>
        <item x="95"/>
        <item x="38"/>
        <item x="36"/>
        <item x="104"/>
        <item x="70"/>
        <item x="31"/>
        <item x="53"/>
        <item x="71"/>
        <item x="30"/>
        <item x="8"/>
        <item x="25"/>
        <item x="37"/>
        <item x="27"/>
        <item x="80"/>
        <item x="88"/>
        <item x="81"/>
        <item x="89"/>
        <item x="43"/>
        <item x="45"/>
        <item x="44"/>
        <item x="46"/>
        <item x="98"/>
        <item x="106"/>
        <item x="97"/>
        <item x="68"/>
        <item x="79"/>
        <item x="29"/>
        <item x="109"/>
        <item x="96"/>
        <item x="32"/>
        <item x="107"/>
        <item x="41"/>
        <item x="100"/>
        <item x="28"/>
        <item x="108"/>
        <item x="93"/>
        <item x="66"/>
        <item x="65"/>
        <item x="63"/>
        <item x="91"/>
        <item x="58"/>
        <item x="64"/>
        <item x="57"/>
        <item x="55"/>
        <item x="86"/>
        <item x="103"/>
        <item x="102"/>
        <item x="59"/>
        <item x="73"/>
        <item x="42"/>
        <item x="12"/>
        <item x="3"/>
        <item x="78"/>
        <item x="52"/>
        <item x="13"/>
        <item x="50"/>
        <item x="60"/>
        <item x="74"/>
        <item x="61"/>
        <item x="51"/>
        <item x="87"/>
        <item x="47"/>
        <item x="49"/>
        <item x="101"/>
        <item x="83"/>
        <item x="7"/>
        <item x="24"/>
        <item x="48"/>
        <item x="22"/>
        <item x="72"/>
        <item x="82"/>
        <item x="9"/>
        <item x="85"/>
        <item x="84"/>
        <item x="56"/>
        <item x="76"/>
        <item x="11"/>
        <item x="0"/>
        <item x="10"/>
        <item x="1"/>
        <item x="6"/>
        <item x="2"/>
        <item x="23"/>
        <item x="62"/>
        <item x="75"/>
      </items>
    </pivotField>
    <pivotField compact="0" numFmtId="168" outline="0" subtotalTop="0" showAll="0" includeNewItemsInFilter="1"/>
    <pivotField compact="0" outline="0" subtotalTop="0" showAll="0" includeNewItemsInFilter="1"/>
  </pivotFields>
  <rowFields count="3">
    <field x="3"/>
    <field x="1"/>
    <field x="4"/>
  </rowFields>
  <rowItems count="127">
    <i>
      <x v="41"/>
      <x v="106"/>
      <x v="3"/>
    </i>
    <i r="1">
      <x v="88"/>
      <x v="3"/>
    </i>
    <i>
      <x v="31"/>
    </i>
    <i>
      <x v="9"/>
      <x v="50"/>
      <x v="3"/>
    </i>
    <i>
      <x v="79"/>
      <x v="94"/>
      <x v="3"/>
    </i>
    <i>
      <x v="80"/>
      <x v="39"/>
      <x v="3"/>
    </i>
    <i>
      <x v="36"/>
      <x v="12"/>
      <x v="3"/>
    </i>
    <i>
      <x v="78"/>
      <x/>
      <x v="3"/>
    </i>
    <i>
      <x v="37"/>
      <x v="23"/>
      <x v="3"/>
    </i>
    <i>
      <x v="46"/>
      <x v="108"/>
      <x v="3"/>
    </i>
    <i>
      <x v="67"/>
    </i>
    <i>
      <x v="74"/>
      <x v="119"/>
      <x v="3"/>
    </i>
    <i>
      <x v="72"/>
      <x v="120"/>
      <x v="3"/>
    </i>
    <i>
      <x v="35"/>
      <x v="1"/>
      <x v="3"/>
    </i>
    <i>
      <x v="73"/>
      <x v="117"/>
      <x v="3"/>
    </i>
    <i>
      <x v="97"/>
      <x v="43"/>
      <x v="3"/>
    </i>
    <i>
      <x v="17"/>
      <x v="73"/>
      <x v="1"/>
    </i>
    <i>
      <x v="34"/>
      <x v="45"/>
      <x v="3"/>
    </i>
    <i>
      <x v="27"/>
      <x v="105"/>
      <x v="3"/>
    </i>
    <i>
      <x v="30"/>
      <x v="118"/>
      <x v="3"/>
    </i>
    <i>
      <x v="24"/>
      <x v="24"/>
      <x v="3"/>
    </i>
    <i r="1">
      <x v="20"/>
      <x v="3"/>
    </i>
    <i>
      <x v="19"/>
      <x v="74"/>
      <x v="1"/>
    </i>
    <i>
      <x v="71"/>
      <x v="71"/>
      <x v="3"/>
    </i>
    <i>
      <x v="29"/>
      <x v="122"/>
      <x v="3"/>
    </i>
    <i>
      <x v="18"/>
      <x v="76"/>
      <x v="1"/>
    </i>
    <i>
      <x v="50"/>
      <x v="87"/>
      <x v="3"/>
    </i>
    <i r="1">
      <x v="104"/>
      <x v="3"/>
    </i>
    <i>
      <x v="48"/>
      <x v="103"/>
      <x v="3"/>
    </i>
    <i r="1">
      <x v="86"/>
      <x v="3"/>
    </i>
    <i>
      <x v="16"/>
      <x v="75"/>
      <x v="1"/>
    </i>
    <i>
      <x v="22"/>
      <x v="33"/>
      <x v="3"/>
    </i>
    <i>
      <x v="21"/>
      <x v="77"/>
      <x v="3"/>
    </i>
    <i>
      <x v="75"/>
      <x v="123"/>
      <x v="3"/>
    </i>
    <i r="1">
      <x v="112"/>
      <x v="3"/>
    </i>
    <i>
      <x v="57"/>
      <x v="61"/>
      <x v="3"/>
    </i>
    <i>
      <x v="98"/>
      <x v="32"/>
      <x v="3"/>
    </i>
    <i>
      <x v="15"/>
      <x v="66"/>
      <x v="3"/>
    </i>
    <i>
      <x v="25"/>
      <x v="102"/>
      <x v="3"/>
    </i>
    <i r="1">
      <x v="85"/>
      <x v="3"/>
    </i>
    <i>
      <x v="42"/>
      <x v="21"/>
      <x v="3"/>
    </i>
    <i r="1">
      <x v="25"/>
      <x v="3"/>
    </i>
    <i>
      <x v="58"/>
      <x v="121"/>
      <x v="3"/>
    </i>
    <i>
      <x v="96"/>
      <x v="99"/>
      <x v="3"/>
    </i>
    <i r="1">
      <x v="80"/>
      <x v="3"/>
    </i>
    <i>
      <x v="93"/>
      <x v="101"/>
      <x v="3"/>
    </i>
    <i r="1">
      <x v="82"/>
      <x v="3"/>
    </i>
    <i>
      <x v="44"/>
      <x v="90"/>
      <x v="3"/>
    </i>
    <i>
      <x v="94"/>
      <x v="84"/>
      <x v="3"/>
    </i>
    <i>
      <x v="89"/>
      <x v="3"/>
      <x v="3"/>
    </i>
    <i>
      <x v="43"/>
      <x v="107"/>
      <x v="3"/>
    </i>
    <i r="1">
      <x v="89"/>
      <x v="3"/>
    </i>
    <i>
      <x v="45"/>
      <x v="91"/>
      <x v="3"/>
    </i>
    <i>
      <x v="49"/>
      <x v="92"/>
      <x v="3"/>
    </i>
    <i>
      <x v="10"/>
      <x v="11"/>
      <x v="3"/>
    </i>
    <i r="1">
      <x v="5"/>
      <x v="3"/>
    </i>
    <i>
      <x v="33"/>
      <x v="30"/>
      <x v="3"/>
    </i>
    <i>
      <x v="6"/>
      <x v="49"/>
      <x v="3"/>
    </i>
    <i>
      <x v="23"/>
      <x v="18"/>
      <x v="3"/>
    </i>
    <i r="1">
      <x v="10"/>
      <x v="3"/>
    </i>
    <i>
      <x v="39"/>
      <x v="65"/>
      <x v="3"/>
    </i>
    <i>
      <x v="95"/>
      <x v="29"/>
      <x v="3"/>
    </i>
    <i>
      <x v="90"/>
      <x v="55"/>
      <x v="3"/>
    </i>
    <i>
      <x v="1"/>
      <x v="16"/>
      <x v="3"/>
    </i>
    <i r="1">
      <x v="8"/>
      <x v="3"/>
    </i>
    <i>
      <x v="32"/>
      <x v="31"/>
      <x v="3"/>
    </i>
    <i>
      <x v="5"/>
      <x v="51"/>
      <x v="3"/>
    </i>
    <i>
      <x v="4"/>
      <x v="52"/>
      <x v="3"/>
    </i>
    <i>
      <x/>
      <x v="124"/>
      <x v="3"/>
    </i>
    <i r="1">
      <x v="113"/>
      <x v="3"/>
    </i>
    <i>
      <x v="26"/>
      <x v="110"/>
      <x v="3"/>
    </i>
    <i r="1">
      <x v="95"/>
      <x v="3"/>
    </i>
    <i>
      <x v="47"/>
      <x v="17"/>
      <x v="3"/>
    </i>
    <i r="1">
      <x v="9"/>
      <x v="3"/>
    </i>
    <i>
      <x v="63"/>
      <x v="28"/>
      <x v="3"/>
    </i>
    <i>
      <x v="62"/>
      <x v="70"/>
      <x v="3"/>
    </i>
    <i>
      <x v="61"/>
      <x v="68"/>
      <x v="3"/>
    </i>
    <i>
      <x v="64"/>
      <x v="69"/>
      <x v="3"/>
    </i>
    <i>
      <x v="65"/>
      <x v="67"/>
      <x v="3"/>
    </i>
    <i>
      <x v="52"/>
      <x v="126"/>
      <x v="3"/>
    </i>
    <i r="1">
      <x v="115"/>
      <x v="3"/>
    </i>
    <i>
      <x v="66"/>
      <x v="125"/>
      <x v="3"/>
    </i>
    <i r="1">
      <x v="114"/>
      <x v="3"/>
    </i>
    <i>
      <x v="8"/>
      <x v="48"/>
      <x v="3"/>
    </i>
    <i>
      <x v="84"/>
      <x v="60"/>
      <x v="3"/>
    </i>
    <i>
      <x v="40"/>
      <x v="46"/>
      <x v="2"/>
    </i>
    <i>
      <x v="77"/>
      <x v="116"/>
      <x v="3"/>
    </i>
    <i>
      <x v="3"/>
      <x v="53"/>
      <x v="3"/>
    </i>
    <i>
      <x v="81"/>
      <x v="98"/>
      <x v="3"/>
    </i>
    <i>
      <x v="53"/>
      <x v="78"/>
      <x v="3"/>
    </i>
    <i>
      <x v="2"/>
      <x v="54"/>
      <x v="3"/>
    </i>
    <i>
      <x v="88"/>
      <x v="97"/>
      <x v="3"/>
    </i>
    <i>
      <x v="85"/>
      <x v="26"/>
      <x v="3"/>
    </i>
    <i>
      <x v="83"/>
      <x v="59"/>
      <x v="3"/>
    </i>
    <i>
      <x v="86"/>
      <x v="62"/>
      <x v="3"/>
    </i>
    <i>
      <x v="68"/>
      <x v="22"/>
      <x v="3"/>
    </i>
    <i r="1">
      <x v="7"/>
      <x v="3"/>
    </i>
    <i r="1">
      <x v="14"/>
      <x v="3"/>
    </i>
    <i r="1">
      <x v="19"/>
      <x v="3"/>
    </i>
    <i>
      <x v="60"/>
      <x v="79"/>
      <x v="3"/>
    </i>
    <i>
      <x v="59"/>
      <x v="57"/>
      <x v="3"/>
    </i>
    <i>
      <x v="7"/>
      <x v="47"/>
      <x v="3"/>
    </i>
    <i>
      <x v="76"/>
      <x v="2"/>
      <x v="3"/>
    </i>
    <i>
      <x v="20"/>
      <x v="27"/>
      <x v="3"/>
    </i>
    <i r="1">
      <x v="63"/>
      <x v="3"/>
    </i>
    <i>
      <x v="87"/>
      <x v="13"/>
      <x v="3"/>
    </i>
    <i r="1">
      <x v="6"/>
      <x v="3"/>
    </i>
    <i>
      <x v="56"/>
      <x v="4"/>
      <x v="3"/>
    </i>
    <i>
      <x v="70"/>
      <x v="56"/>
      <x v="3"/>
    </i>
    <i>
      <x v="38"/>
      <x v="64"/>
      <x v="3"/>
    </i>
    <i>
      <x v="54"/>
      <x v="72"/>
      <x v="3"/>
    </i>
    <i>
      <x v="82"/>
      <x v="58"/>
      <x v="3"/>
    </i>
    <i>
      <x v="51"/>
      <x v="109"/>
      <x v="3"/>
    </i>
    <i r="1">
      <x v="93"/>
      <x v="3"/>
    </i>
    <i>
      <x v="28"/>
      <x v="96"/>
      <x v="3"/>
    </i>
    <i r="1">
      <x v="111"/>
      <x v="3"/>
    </i>
    <i>
      <x v="69"/>
      <x v="15"/>
      <x v="3"/>
    </i>
    <i>
      <x v="92"/>
      <x v="42"/>
      <x v="3"/>
    </i>
    <i>
      <x v="55"/>
      <x v="83"/>
      <x v="3"/>
    </i>
    <i>
      <x v="13"/>
      <x v="37"/>
      <x v="3"/>
    </i>
    <i>
      <x v="12"/>
      <x v="36"/>
      <x v="3"/>
    </i>
    <i>
      <x v="14"/>
      <x v="35"/>
      <x v="3"/>
    </i>
    <i r="1">
      <x v="40"/>
      <x v="3"/>
    </i>
    <i>
      <x v="91"/>
      <x v="41"/>
      <x v="3"/>
    </i>
    <i>
      <x v="11"/>
      <x v="38"/>
      <x v="3"/>
    </i>
    <i r="1">
      <x v="34"/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6" hier="0"/>
  </pageFields>
  <dataFields count="2">
    <dataField name="Макс цена за е.и." fld="6" subtotal="max" baseField="0" baseItem="0"/>
    <dataField name="Мин цена за е.и." fld="6" subtotal="min" baseField="0" baseItem="0"/>
  </dataFields>
  <formats count="26">
    <format dxfId="76">
      <pivotArea dataOnly="0" labelOnly="1" outline="0" fieldPosition="0">
        <references count="1">
          <reference field="3" count="0"/>
        </references>
      </pivotArea>
    </format>
    <format dxfId="75">
      <pivotArea dataOnly="0" labelOnly="1" outline="0" fieldPosition="0">
        <references count="1">
          <reference field="3" count="0"/>
        </references>
      </pivotArea>
    </format>
    <format dxfId="74">
      <pivotArea type="all" dataOnly="0" outline="0" fieldPosition="0"/>
    </format>
    <format dxfId="73">
      <pivotArea dataOnly="0" grandRow="1" outline="0" fieldPosition="0"/>
    </format>
    <format dxfId="72">
      <pivotArea dataOnly="0" labelOnly="1" outline="0" fieldPosition="0">
        <references count="1">
          <reference field="4294967294" count="0"/>
        </references>
      </pivotArea>
    </format>
    <format dxfId="71">
      <pivotArea dataOnly="0" grandRow="1" outline="0" fieldPosition="0"/>
    </format>
    <format dxfId="70">
      <pivotArea field="3" type="button" dataOnly="0" labelOnly="1" outline="0" axis="axisRow" fieldPosition="0"/>
    </format>
    <format dxfId="69">
      <pivotArea field="4" type="button" dataOnly="0" labelOnly="1" outline="0" axis="axisRow" fieldPosition="2"/>
    </format>
    <format dxfId="68">
      <pivotArea field="6" type="button" dataOnly="0" labelOnly="1" outline="0" axis="axisPage" fieldPosition="0"/>
    </format>
    <format dxfId="67">
      <pivotArea field="3" type="button" dataOnly="0" labelOnly="1" outline="0" axis="axisRow" fieldPosition="0"/>
    </format>
    <format dxfId="66">
      <pivotArea field="4" type="button" dataOnly="0" labelOnly="1" outline="0" axis="axisRow" fieldPosition="2"/>
    </format>
    <format dxfId="65">
      <pivotArea field="6" type="button" dataOnly="0" labelOnly="1" outline="0" axis="axisPage" fieldPosition="0"/>
    </format>
    <format dxfId="64">
      <pivotArea dataOnly="0" labelOnly="1" outline="0" fieldPosition="0">
        <references count="1">
          <reference field="4294967294" count="0"/>
        </references>
      </pivotArea>
    </format>
    <format dxfId="63">
      <pivotArea field="3" type="button" dataOnly="0" labelOnly="1" outline="0" axis="axisRow" fieldPosition="0"/>
    </format>
    <format dxfId="62">
      <pivotArea field="4" type="button" dataOnly="0" labelOnly="1" outline="0" axis="axisRow" fieldPosition="2"/>
    </format>
    <format dxfId="61">
      <pivotArea dataOnly="0" labelOnly="1" outline="0" fieldPosition="0">
        <references count="1">
          <reference field="4294967294" count="0"/>
        </references>
      </pivotArea>
    </format>
    <format dxfId="60">
      <pivotArea field="3" type="button" dataOnly="0" labelOnly="1" outline="0" axis="axisRow" fieldPosition="0"/>
    </format>
    <format dxfId="59">
      <pivotArea field="4" type="button" dataOnly="0" labelOnly="1" outline="0" axis="axisRow" fieldPosition="2"/>
    </format>
    <format dxfId="58">
      <pivotArea dataOnly="0" labelOnly="1" outline="0" fieldPosition="0">
        <references count="1">
          <reference field="4294967294" count="0"/>
        </references>
      </pivotArea>
    </format>
    <format dxfId="57">
      <pivotArea field="3" type="button" dataOnly="0" labelOnly="1" outline="0" axis="axisRow" fieldPosition="0"/>
    </format>
    <format dxfId="56">
      <pivotArea dataOnly="0" outline="0" fieldPosition="0">
        <references count="1">
          <reference field="4294967294" count="0"/>
        </references>
      </pivotArea>
    </format>
    <format dxfId="55">
      <pivotArea dataOnly="0" labelOnly="1" outline="0" fieldPosition="0">
        <references count="1">
          <reference field="4294967294" count="0"/>
        </references>
      </pivotArea>
    </format>
    <format dxfId="54">
      <pivotArea dataOnly="0" outline="0" fieldPosition="0">
        <references count="1">
          <reference field="4294967294" count="1">
            <x v="0"/>
          </reference>
        </references>
      </pivotArea>
    </format>
    <format dxfId="53">
      <pivotArea field="1" type="button" dataOnly="0" labelOnly="1" outline="0" axis="axisRow" fieldPosition="1"/>
    </format>
    <format dxfId="52">
      <pivotArea field="1" type="button" dataOnly="0" labelOnly="1" outline="0" axis="axisRow" fieldPosition="1"/>
    </format>
    <format dxfId="51">
      <pivotArea field="1" type="button" dataOnly="0" labelOnly="1" outline="0" axis="axisRow" fieldPosition="1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СводнаяТаблица1" cacheId="1" applyNumberFormats="0" applyBorderFormats="0" applyFontFormats="0" applyPatternFormats="0" applyAlignmentFormats="0" applyWidthHeightFormats="1" dataCaption="Данные" updatedVersion="2" asteriskTotals="1" showMemberPropertyTips="0" useAutoFormatting="1" itemPrintTitles="1" createdVersion="1" indent="0" compact="0" compactData="0" gridDropZones="1">
  <location ref="B4:I133" firstHeaderRow="1" firstDataRow="2" firstDataCol="4" rowPageCount="1" colPageCount="1"/>
  <pivotFields count="15">
    <pivotField compact="0" outline="0" subtotalTop="0" showAll="0" includeNewItemsInFilter="1"/>
    <pivotField name="код" axis="axisRow" compact="0" outline="0" subtotalTop="0" showAll="0" includeNewItemsInFilter="1" defaultSubtotal="0">
      <items count="873">
        <item x="1"/>
        <item x="2"/>
        <item x="3"/>
        <item x="12"/>
        <item x="13"/>
        <item x="14"/>
        <item x="4"/>
        <item x="5"/>
        <item x="6"/>
        <item x="7"/>
        <item x="8"/>
        <item x="9"/>
        <item x="10"/>
        <item x="11"/>
        <item x="15"/>
        <item x="16"/>
        <item x="25"/>
        <item x="26"/>
        <item x="27"/>
        <item x="28"/>
        <item x="29"/>
        <item x="30"/>
        <item x="17"/>
        <item x="18"/>
        <item x="19"/>
        <item x="20"/>
        <item x="21"/>
        <item x="22"/>
        <item x="23"/>
        <item x="24"/>
        <item x="31"/>
        <item x="32"/>
        <item x="33"/>
        <item x="34"/>
        <item x="35"/>
        <item x="36"/>
        <item x="132"/>
        <item x="133"/>
        <item x="142"/>
        <item x="143"/>
        <item x="144"/>
        <item x="145"/>
        <item x="146"/>
        <item x="134"/>
        <item x="135"/>
        <item x="136"/>
        <item x="137"/>
        <item x="138"/>
        <item x="139"/>
        <item x="140"/>
        <item x="141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73"/>
        <item x="174"/>
        <item x="175"/>
        <item x="165"/>
        <item x="166"/>
        <item x="167"/>
        <item x="168"/>
        <item x="169"/>
        <item x="170"/>
        <item x="171"/>
        <item x="172"/>
        <item x="176"/>
        <item x="177"/>
        <item x="186"/>
        <item x="187"/>
        <item x="188"/>
        <item x="189"/>
        <item x="190"/>
        <item x="191"/>
        <item x="192"/>
        <item x="178"/>
        <item x="179"/>
        <item x="180"/>
        <item x="181"/>
        <item x="182"/>
        <item x="183"/>
        <item x="184"/>
        <item x="185"/>
        <item x="193"/>
        <item x="198"/>
        <item x="199"/>
        <item x="200"/>
        <item x="201"/>
        <item x="202"/>
        <item x="211"/>
        <item x="212"/>
        <item x="203"/>
        <item x="204"/>
        <item x="205"/>
        <item x="206"/>
        <item x="207"/>
        <item x="208"/>
        <item x="209"/>
        <item x="210"/>
        <item x="213"/>
        <item x="215"/>
        <item x="216"/>
        <item x="225"/>
        <item x="217"/>
        <item x="218"/>
        <item x="219"/>
        <item x="220"/>
        <item x="221"/>
        <item x="222"/>
        <item x="223"/>
        <item x="224"/>
        <item x="226"/>
        <item x="227"/>
        <item x="228"/>
        <item x="237"/>
        <item x="238"/>
        <item x="239"/>
        <item x="240"/>
        <item x="241"/>
        <item x="229"/>
        <item x="230"/>
        <item x="231"/>
        <item x="232"/>
        <item x="233"/>
        <item x="234"/>
        <item x="235"/>
        <item x="236"/>
        <item x="242"/>
        <item x="243"/>
        <item x="252"/>
        <item x="253"/>
        <item x="254"/>
        <item x="255"/>
        <item x="256"/>
        <item x="257"/>
        <item x="258"/>
        <item x="244"/>
        <item x="245"/>
        <item x="246"/>
        <item x="247"/>
        <item x="248"/>
        <item x="249"/>
        <item x="250"/>
        <item x="251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91"/>
        <item x="292"/>
        <item x="293"/>
        <item x="294"/>
        <item x="295"/>
        <item x="296"/>
        <item x="283"/>
        <item x="284"/>
        <item x="285"/>
        <item x="286"/>
        <item x="287"/>
        <item x="288"/>
        <item x="289"/>
        <item x="290"/>
        <item x="297"/>
        <item x="298"/>
        <item x="307"/>
        <item x="308"/>
        <item x="309"/>
        <item x="310"/>
        <item x="311"/>
        <item x="312"/>
        <item x="299"/>
        <item x="300"/>
        <item x="301"/>
        <item x="302"/>
        <item x="303"/>
        <item x="304"/>
        <item x="305"/>
        <item x="306"/>
        <item x="313"/>
        <item x="314"/>
        <item x="323"/>
        <item x="324"/>
        <item x="325"/>
        <item x="326"/>
        <item x="327"/>
        <item x="328"/>
        <item x="315"/>
        <item x="316"/>
        <item x="317"/>
        <item x="318"/>
        <item x="319"/>
        <item x="320"/>
        <item x="321"/>
        <item x="322"/>
        <item x="329"/>
        <item x="330"/>
        <item x="332"/>
        <item x="333"/>
        <item x="334"/>
        <item x="335"/>
        <item x="331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7"/>
        <item x="369"/>
        <item x="376"/>
        <item x="377"/>
        <item x="386"/>
        <item x="387"/>
        <item x="388"/>
        <item x="389"/>
        <item x="390"/>
        <item x="391"/>
        <item x="392"/>
        <item x="393"/>
        <item x="394"/>
        <item x="395"/>
        <item x="378"/>
        <item x="396"/>
        <item x="397"/>
        <item x="398"/>
        <item x="399"/>
        <item x="400"/>
        <item x="401"/>
        <item x="402"/>
        <item x="403"/>
        <item x="404"/>
        <item x="405"/>
        <item x="379"/>
        <item x="406"/>
        <item x="407"/>
        <item x="408"/>
        <item x="380"/>
        <item x="381"/>
        <item x="382"/>
        <item x="383"/>
        <item x="384"/>
        <item x="385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47"/>
        <item x="439"/>
        <item x="440"/>
        <item x="441"/>
        <item x="442"/>
        <item x="443"/>
        <item x="444"/>
        <item x="445"/>
        <item x="446"/>
        <item x="448"/>
        <item x="449"/>
        <item x="458"/>
        <item x="450"/>
        <item x="451"/>
        <item x="452"/>
        <item x="453"/>
        <item x="454"/>
        <item x="455"/>
        <item x="456"/>
        <item x="457"/>
        <item x="459"/>
        <item x="461"/>
        <item x="462"/>
        <item x="463"/>
        <item x="464"/>
        <item x="465"/>
        <item x="474"/>
        <item x="475"/>
        <item x="476"/>
        <item x="477"/>
        <item x="478"/>
        <item x="479"/>
        <item x="466"/>
        <item x="467"/>
        <item x="468"/>
        <item x="469"/>
        <item x="470"/>
        <item x="471"/>
        <item x="472"/>
        <item x="473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500"/>
        <item x="501"/>
        <item x="502"/>
        <item x="503"/>
        <item x="504"/>
        <item x="505"/>
        <item x="506"/>
        <item x="507"/>
        <item x="508"/>
        <item x="509"/>
        <item x="492"/>
        <item x="493"/>
        <item x="494"/>
        <item x="495"/>
        <item x="496"/>
        <item x="497"/>
        <item x="498"/>
        <item x="49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3"/>
        <item x="534"/>
        <item x="535"/>
        <item x="536"/>
        <item x="537"/>
        <item x="544"/>
        <item x="545"/>
        <item x="546"/>
        <item x="547"/>
        <item x="556"/>
        <item x="548"/>
        <item x="549"/>
        <item x="550"/>
        <item x="551"/>
        <item x="552"/>
        <item x="553"/>
        <item x="554"/>
        <item x="555"/>
        <item x="557"/>
        <item x="558"/>
        <item x="559"/>
        <item x="560"/>
        <item x="561"/>
        <item x="562"/>
        <item x="563"/>
        <item x="564"/>
        <item x="565"/>
        <item x="38"/>
        <item x="39"/>
        <item x="48"/>
        <item x="49"/>
        <item x="50"/>
        <item x="51"/>
        <item x="52"/>
        <item x="40"/>
        <item x="41"/>
        <item x="42"/>
        <item x="43"/>
        <item x="44"/>
        <item x="45"/>
        <item x="46"/>
        <item x="47"/>
        <item x="566"/>
        <item x="568"/>
        <item x="569"/>
        <item x="578"/>
        <item x="579"/>
        <item x="580"/>
        <item x="581"/>
        <item x="582"/>
        <item x="583"/>
        <item x="584"/>
        <item x="585"/>
        <item x="586"/>
        <item x="587"/>
        <item x="570"/>
        <item x="588"/>
        <item x="571"/>
        <item x="572"/>
        <item x="573"/>
        <item x="574"/>
        <item x="575"/>
        <item x="576"/>
        <item x="577"/>
        <item x="589"/>
        <item x="590"/>
        <item x="591"/>
        <item x="605"/>
        <item x="606"/>
        <item x="615"/>
        <item x="616"/>
        <item x="617"/>
        <item x="618"/>
        <item x="619"/>
        <item x="620"/>
        <item x="621"/>
        <item x="622"/>
        <item x="623"/>
        <item x="624"/>
        <item x="607"/>
        <item x="625"/>
        <item x="626"/>
        <item x="627"/>
        <item x="628"/>
        <item x="629"/>
        <item x="630"/>
        <item x="631"/>
        <item x="632"/>
        <item x="633"/>
        <item x="634"/>
        <item x="608"/>
        <item x="635"/>
        <item x="636"/>
        <item x="637"/>
        <item x="638"/>
        <item x="639"/>
        <item x="640"/>
        <item x="641"/>
        <item x="642"/>
        <item x="609"/>
        <item x="610"/>
        <item x="611"/>
        <item x="612"/>
        <item x="613"/>
        <item x="614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751"/>
        <item x="752"/>
        <item x="761"/>
        <item x="851"/>
        <item x="762"/>
        <item x="763"/>
        <item x="764"/>
        <item x="765"/>
        <item x="766"/>
        <item x="767"/>
        <item x="768"/>
        <item x="769"/>
        <item x="770"/>
        <item x="753"/>
        <item x="771"/>
        <item x="772"/>
        <item x="773"/>
        <item x="774"/>
        <item x="775"/>
        <item x="776"/>
        <item x="777"/>
        <item x="778"/>
        <item x="779"/>
        <item x="780"/>
        <item x="754"/>
        <item x="781"/>
        <item x="782"/>
        <item x="783"/>
        <item x="784"/>
        <item x="785"/>
        <item x="786"/>
        <item x="787"/>
        <item x="788"/>
        <item x="789"/>
        <item x="790"/>
        <item x="755"/>
        <item x="791"/>
        <item x="792"/>
        <item x="793"/>
        <item x="794"/>
        <item x="795"/>
        <item x="796"/>
        <item x="797"/>
        <item x="798"/>
        <item x="799"/>
        <item x="800"/>
        <item x="756"/>
        <item x="801"/>
        <item x="802"/>
        <item x="803"/>
        <item x="804"/>
        <item x="805"/>
        <item x="806"/>
        <item x="807"/>
        <item x="808"/>
        <item x="809"/>
        <item x="810"/>
        <item x="757"/>
        <item x="811"/>
        <item x="812"/>
        <item x="813"/>
        <item x="814"/>
        <item x="815"/>
        <item x="816"/>
        <item x="817"/>
        <item x="818"/>
        <item x="819"/>
        <item x="820"/>
        <item x="758"/>
        <item x="821"/>
        <item x="822"/>
        <item x="823"/>
        <item x="824"/>
        <item x="825"/>
        <item x="826"/>
        <item x="827"/>
        <item x="828"/>
        <item x="829"/>
        <item x="830"/>
        <item x="759"/>
        <item x="831"/>
        <item x="832"/>
        <item x="833"/>
        <item x="834"/>
        <item x="835"/>
        <item x="836"/>
        <item x="837"/>
        <item x="838"/>
        <item x="839"/>
        <item x="840"/>
        <item x="760"/>
        <item x="841"/>
        <item x="842"/>
        <item x="843"/>
        <item x="844"/>
        <item x="845"/>
        <item x="846"/>
        <item x="847"/>
        <item x="848"/>
        <item x="849"/>
        <item x="850"/>
        <item x="852"/>
        <item x="856"/>
        <item x="857"/>
        <item x="858"/>
        <item x="859"/>
        <item x="860"/>
        <item x="861"/>
        <item x="865"/>
        <item x="866"/>
        <item x="867"/>
        <item x="868"/>
        <item x="869"/>
        <item x="870"/>
        <item x="871"/>
        <item x="53"/>
        <item x="54"/>
        <item x="55"/>
        <item x="64"/>
        <item x="65"/>
        <item x="66"/>
        <item x="56"/>
        <item x="57"/>
        <item x="58"/>
        <item x="59"/>
        <item x="60"/>
        <item x="61"/>
        <item x="62"/>
        <item x="63"/>
        <item x="67"/>
        <item x="68"/>
        <item x="69"/>
        <item x="70"/>
        <item x="79"/>
        <item x="80"/>
        <item x="81"/>
        <item x="82"/>
        <item x="83"/>
        <item x="84"/>
        <item x="71"/>
        <item x="72"/>
        <item x="73"/>
        <item x="74"/>
        <item x="75"/>
        <item x="76"/>
        <item x="77"/>
        <item x="78"/>
        <item x="85"/>
        <item x="86"/>
        <item x="95"/>
        <item x="96"/>
        <item x="97"/>
        <item x="98"/>
        <item x="99"/>
        <item x="100"/>
        <item x="101"/>
        <item x="102"/>
        <item x="103"/>
        <item x="87"/>
        <item x="88"/>
        <item x="89"/>
        <item x="90"/>
        <item x="91"/>
        <item x="92"/>
        <item x="93"/>
        <item x="94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20"/>
        <item x="121"/>
        <item x="122"/>
        <item x="123"/>
        <item x="124"/>
        <item x="125"/>
        <item x="127"/>
        <item x="128"/>
        <item x="129"/>
        <item x="130"/>
        <item x="131"/>
        <item x="119"/>
        <item x="372"/>
        <item x="729"/>
        <item x="730"/>
        <item x="731"/>
        <item x="732"/>
        <item x="733"/>
        <item x="734"/>
        <item x="735"/>
        <item x="736"/>
        <item x="737"/>
        <item x="738"/>
        <item x="373"/>
        <item x="739"/>
        <item x="740"/>
        <item x="741"/>
        <item x="742"/>
        <item x="743"/>
        <item x="744"/>
        <item x="745"/>
        <item x="746"/>
        <item x="747"/>
        <item x="748"/>
        <item x="374"/>
        <item x="749"/>
        <item x="750"/>
        <item x="853"/>
        <item x="854"/>
        <item x="855"/>
        <item x="862"/>
        <item x="863"/>
        <item x="864"/>
        <item x="375"/>
        <item x="460"/>
        <item x="531"/>
        <item x="532"/>
        <item x="538"/>
        <item x="539"/>
        <item x="540"/>
        <item x="126"/>
        <item x="541"/>
        <item x="542"/>
        <item x="543"/>
        <item x="567"/>
        <item x="592"/>
        <item x="593"/>
        <item x="594"/>
        <item x="595"/>
        <item x="596"/>
        <item x="597"/>
        <item x="194"/>
        <item x="598"/>
        <item x="599"/>
        <item x="600"/>
        <item x="601"/>
        <item x="602"/>
        <item x="603"/>
        <item x="604"/>
        <item x="666"/>
        <item x="667"/>
        <item x="668"/>
        <item x="195"/>
        <item x="669"/>
        <item x="670"/>
        <item x="671"/>
        <item x="672"/>
        <item x="673"/>
        <item x="674"/>
        <item x="675"/>
        <item x="676"/>
        <item x="677"/>
        <item x="678"/>
        <item x="196"/>
        <item x="679"/>
        <item x="680"/>
        <item x="681"/>
        <item x="682"/>
        <item x="683"/>
        <item x="684"/>
        <item x="685"/>
        <item x="686"/>
        <item x="687"/>
        <item x="688"/>
        <item x="197"/>
        <item x="689"/>
        <item x="690"/>
        <item x="691"/>
        <item x="692"/>
        <item x="693"/>
        <item x="694"/>
        <item x="695"/>
        <item x="696"/>
        <item x="697"/>
        <item x="698"/>
        <item x="214"/>
        <item x="699"/>
        <item x="700"/>
        <item x="701"/>
        <item x="702"/>
        <item x="703"/>
        <item x="704"/>
        <item x="705"/>
        <item x="706"/>
        <item x="707"/>
        <item x="708"/>
        <item x="370"/>
        <item x="709"/>
        <item x="710"/>
        <item x="711"/>
        <item x="712"/>
        <item x="713"/>
        <item x="714"/>
        <item x="715"/>
        <item x="716"/>
        <item x="717"/>
        <item x="718"/>
        <item x="371"/>
        <item x="719"/>
        <item x="720"/>
        <item x="721"/>
        <item x="722"/>
        <item x="723"/>
        <item x="724"/>
        <item x="725"/>
        <item x="726"/>
        <item x="727"/>
        <item x="728"/>
        <item x="872"/>
        <item x="0"/>
      </items>
    </pivotField>
    <pivotField name="Наименование" axis="axisRow" compact="0" outline="0" subtotalTop="0" showAll="0" includeNewItemsInFilter="1" sortType="descending" rankBy="0" defaultSubtotal="0">
      <items count="571">
        <item x="368"/>
        <item x="364"/>
        <item x="366"/>
        <item x="500"/>
        <item x="498"/>
        <item x="271"/>
        <item x="269"/>
        <item x="308"/>
        <item x="547"/>
        <item x="555"/>
        <item x="506"/>
        <item x="504"/>
        <item x="507"/>
        <item x="162"/>
        <item x="170"/>
        <item x="367"/>
        <item x="492"/>
        <item x="394"/>
        <item x="348"/>
        <item x="543"/>
        <item x="385"/>
        <item x="496"/>
        <item x="438"/>
        <item x="455"/>
        <item x="475"/>
        <item x="523"/>
        <item x="335"/>
        <item x="334"/>
        <item x="333"/>
        <item x="332"/>
        <item x="331"/>
        <item x="329"/>
        <item x="330"/>
        <item x="304"/>
        <item x="117"/>
        <item x="342"/>
        <item x="340"/>
        <item x="339"/>
        <item x="341"/>
        <item x="60"/>
        <item x="560"/>
        <item x="568"/>
        <item x="570"/>
        <item x="360"/>
        <item x="361"/>
        <item x="365"/>
        <item x="362"/>
        <item x="363"/>
        <item x="358"/>
        <item x="357"/>
        <item x="540"/>
        <item x="452"/>
        <item x="486"/>
        <item x="281"/>
        <item x="567"/>
        <item x="559"/>
        <item x="95"/>
        <item x="522"/>
        <item x="502"/>
        <item x="518"/>
        <item x="489"/>
        <item x="4"/>
        <item x="84"/>
        <item x="78"/>
        <item x="465"/>
        <item x="548"/>
        <item x="516"/>
        <item x="276"/>
        <item x="282"/>
        <item x="283"/>
        <item x="277"/>
        <item x="472"/>
        <item x="469"/>
        <item x="402"/>
        <item x="410"/>
        <item x="408"/>
        <item x="474"/>
        <item x="411"/>
        <item x="473"/>
        <item x="471"/>
        <item x="409"/>
        <item x="399"/>
        <item x="466"/>
        <item x="412"/>
        <item x="238"/>
        <item x="10"/>
        <item x="17"/>
        <item x="32"/>
        <item x="89"/>
        <item x="250"/>
        <item x="293"/>
        <item x="354"/>
        <item x="101"/>
        <item x="179"/>
        <item x="314"/>
        <item x="174"/>
        <item x="62"/>
        <item x="49"/>
        <item x="56"/>
        <item x="239"/>
        <item x="68"/>
        <item x="55"/>
        <item x="377"/>
        <item x="378"/>
        <item x="66"/>
        <item x="298"/>
        <item x="289"/>
        <item x="229"/>
        <item x="237"/>
        <item x="457"/>
        <item x="460"/>
        <item x="421"/>
        <item x="313"/>
        <item x="100"/>
        <item x="353"/>
        <item x="106"/>
        <item x="512"/>
        <item x="529"/>
        <item x="530"/>
        <item x="527"/>
        <item x="528"/>
        <item x="532"/>
        <item x="525"/>
        <item x="526"/>
        <item x="531"/>
        <item x="558"/>
        <item x="524"/>
        <item x="369"/>
        <item x="359"/>
        <item x="319"/>
        <item x="320"/>
        <item x="321"/>
        <item x="322"/>
        <item x="105"/>
        <item x="316"/>
        <item x="317"/>
        <item x="318"/>
        <item x="556"/>
        <item x="542"/>
        <item x="292"/>
        <item x="430"/>
        <item x="187"/>
        <item x="254"/>
        <item x="266"/>
        <item x="431"/>
        <item x="176"/>
        <item x="446"/>
        <item x="442"/>
        <item x="415"/>
        <item x="326"/>
        <item x="553"/>
        <item x="552"/>
        <item x="327"/>
        <item x="48"/>
        <item x="476"/>
        <item x="478"/>
        <item x="235"/>
        <item x="222"/>
        <item x="213"/>
        <item x="216"/>
        <item x="218"/>
        <item x="259"/>
        <item x="220"/>
        <item x="273"/>
        <item x="245"/>
        <item x="258"/>
        <item x="311"/>
        <item x="541"/>
        <item x="510"/>
        <item x="509"/>
        <item x="356"/>
        <item x="96"/>
        <item x="347"/>
        <item x="538"/>
        <item x="537"/>
        <item x="189"/>
        <item x="190"/>
        <item x="191"/>
        <item x="315"/>
        <item x="569"/>
        <item x="564"/>
        <item x="374"/>
        <item x="459"/>
        <item x="462"/>
        <item x="550"/>
        <item x="373"/>
        <item x="467"/>
        <item x="400"/>
        <item x="468"/>
        <item x="401"/>
        <item x="102"/>
        <item x="122"/>
        <item x="563"/>
        <item x="562"/>
        <item x="328"/>
        <item x="536"/>
        <item x="424"/>
        <item x="479"/>
        <item x="461"/>
        <item x="425"/>
        <item x="426"/>
        <item x="427"/>
        <item x="435"/>
        <item x="456"/>
        <item x="422"/>
        <item x="428"/>
        <item x="423"/>
        <item x="429"/>
        <item x="39"/>
        <item x="11"/>
        <item x="36"/>
        <item x="278"/>
        <item x="477"/>
        <item x="202"/>
        <item x="201"/>
        <item x="242"/>
        <item x="253"/>
        <item x="200"/>
        <item x="252"/>
        <item x="241"/>
        <item x="251"/>
        <item x="301"/>
        <item x="193"/>
        <item x="195"/>
        <item x="262"/>
        <item x="263"/>
        <item x="279"/>
        <item x="264"/>
        <item x="265"/>
        <item x="196"/>
        <item x="21"/>
        <item x="165"/>
        <item x="168"/>
        <item x="144"/>
        <item x="47"/>
        <item x="177"/>
        <item x="64"/>
        <item x="164"/>
        <item x="128"/>
        <item x="77"/>
        <item x="83"/>
        <item x="121"/>
        <item x="92"/>
        <item x="7"/>
        <item x="88"/>
        <item x="180"/>
        <item x="225"/>
        <item x="33"/>
        <item x="18"/>
        <item x="194"/>
        <item x="115"/>
        <item x="158"/>
        <item x="35"/>
        <item x="169"/>
        <item x="198"/>
        <item x="151"/>
        <item x="172"/>
        <item x="51"/>
        <item x="125"/>
        <item x="309"/>
        <item x="19"/>
        <item x="299"/>
        <item x="160"/>
        <item x="61"/>
        <item x="154"/>
        <item x="171"/>
        <item x="150"/>
        <item x="145"/>
        <item x="20"/>
        <item x="28"/>
        <item x="346"/>
        <item x="199"/>
        <item x="310"/>
        <item x="58"/>
        <item x="52"/>
        <item x="197"/>
        <item x="207"/>
        <item x="305"/>
        <item x="307"/>
        <item x="204"/>
        <item x="205"/>
        <item x="211"/>
        <item x="208"/>
        <item x="206"/>
        <item x="306"/>
        <item x="203"/>
        <item x="209"/>
        <item x="210"/>
        <item x="243"/>
        <item x="255"/>
        <item x="267"/>
        <item x="270"/>
        <item x="268"/>
        <item x="256"/>
        <item x="257"/>
        <item x="76"/>
        <item x="440"/>
        <item x="370"/>
        <item x="111"/>
        <item x="323"/>
        <item x="226"/>
        <item x="80"/>
        <item x="248"/>
        <item x="260"/>
        <item x="297"/>
        <item x="104"/>
        <item x="132"/>
        <item x="131"/>
        <item x="413"/>
        <item x="74"/>
        <item x="565"/>
        <item x="566"/>
        <item x="65"/>
        <item x="380"/>
        <item x="119"/>
        <item x="120"/>
        <item x="521"/>
        <item x="31"/>
        <item x="5"/>
        <item x="50"/>
        <item x="137"/>
        <item x="13"/>
        <item x="227"/>
        <item x="231"/>
        <item x="53"/>
        <item x="178"/>
        <item x="134"/>
        <item x="290"/>
        <item x="138"/>
        <item x="379"/>
        <item x="14"/>
        <item x="228"/>
        <item x="232"/>
        <item x="54"/>
        <item x="6"/>
        <item x="147"/>
        <item x="140"/>
        <item x="57"/>
        <item x="41"/>
        <item x="155"/>
        <item x="9"/>
        <item x="12"/>
        <item x="130"/>
        <item x="534"/>
        <item x="450"/>
        <item x="118"/>
        <item x="499"/>
        <item x="445"/>
        <item x="382"/>
        <item x="381"/>
        <item x="67"/>
        <item x="173"/>
        <item x="166"/>
        <item x="87"/>
        <item x="124"/>
        <item x="16"/>
        <item x="163"/>
        <item x="148"/>
        <item x="141"/>
        <item x="44"/>
        <item x="38"/>
        <item x="114"/>
        <item x="86"/>
        <item x="3"/>
        <item x="30"/>
        <item x="167"/>
        <item x="91"/>
        <item x="247"/>
        <item x="133"/>
        <item x="230"/>
        <item x="112"/>
        <item x="338"/>
        <item x="480"/>
        <item x="414"/>
        <item x="349"/>
        <item x="470"/>
        <item x="404"/>
        <item x="406"/>
        <item x="545"/>
        <item x="405"/>
        <item x="403"/>
        <item x="345"/>
        <item x="439"/>
        <item x="493"/>
        <item x="484"/>
        <item x="549"/>
        <item x="116"/>
        <item x="73"/>
        <item x="81"/>
        <item x="126"/>
        <item x="324"/>
        <item x="513"/>
        <item x="533"/>
        <item x="494"/>
        <item x="490"/>
        <item x="514"/>
        <item x="515"/>
        <item x="103"/>
        <item x="97"/>
        <item x="129"/>
        <item x="109"/>
        <item x="418"/>
        <item x="387"/>
        <item x="240"/>
        <item x="42"/>
        <item x="325"/>
        <item x="43"/>
        <item x="23"/>
        <item x="557"/>
        <item x="454"/>
        <item x="458"/>
        <item x="337"/>
        <item x="223"/>
        <item x="520"/>
        <item x="491"/>
        <item x="407"/>
        <item x="352"/>
        <item x="300"/>
        <item x="98"/>
        <item x="108"/>
        <item x="372"/>
        <item x="501"/>
        <item x="517"/>
        <item x="488"/>
        <item x="481"/>
        <item x="444"/>
        <item x="497"/>
        <item x="441"/>
        <item x="443"/>
        <item x="437"/>
        <item x="482"/>
        <item x="448"/>
        <item x="505"/>
        <item x="561"/>
        <item x="159"/>
        <item x="188"/>
        <item x="75"/>
        <item x="46"/>
        <item x="127"/>
        <item x="82"/>
        <item x="351"/>
        <item x="152"/>
        <item x="79"/>
        <item x="375"/>
        <item x="139"/>
        <item x="40"/>
        <item x="37"/>
        <item x="29"/>
        <item x="113"/>
        <item x="123"/>
        <item x="85"/>
        <item x="1"/>
        <item x="161"/>
        <item x="175"/>
        <item x="90"/>
        <item x="434"/>
        <item x="416"/>
        <item x="485"/>
        <item x="135"/>
        <item x="136"/>
        <item x="433"/>
        <item x="463"/>
        <item x="395"/>
        <item x="546"/>
        <item x="464"/>
        <item x="396"/>
        <item x="397"/>
        <item x="544"/>
        <item x="398"/>
        <item x="453"/>
        <item x="539"/>
        <item x="186"/>
        <item x="432"/>
        <item x="312"/>
        <item x="99"/>
        <item x="511"/>
        <item x="350"/>
        <item x="249"/>
        <item x="261"/>
        <item x="275"/>
        <item x="274"/>
        <item x="233"/>
        <item x="295"/>
        <item x="234"/>
        <item x="244"/>
        <item x="215"/>
        <item x="236"/>
        <item x="217"/>
        <item x="219"/>
        <item x="272"/>
        <item x="221"/>
        <item x="214"/>
        <item x="212"/>
        <item x="246"/>
        <item x="535"/>
        <item x="107"/>
        <item x="371"/>
        <item x="142"/>
        <item x="45"/>
        <item x="143"/>
        <item x="146"/>
        <item x="8"/>
        <item x="149"/>
        <item x="449"/>
        <item x="296"/>
        <item x="287"/>
        <item x="280"/>
        <item x="343"/>
        <item x="71"/>
        <item x="294"/>
        <item x="286"/>
        <item x="184"/>
        <item x="181"/>
        <item x="376"/>
        <item x="93"/>
        <item x="487"/>
        <item x="224"/>
        <item x="288"/>
        <item x="393"/>
        <item x="24"/>
        <item x="156"/>
        <item x="153"/>
        <item x="386"/>
        <item x="70"/>
        <item x="384"/>
        <item x="25"/>
        <item x="185"/>
        <item x="355"/>
        <item x="336"/>
        <item x="183"/>
        <item x="182"/>
        <item x="26"/>
        <item x="22"/>
        <item x="72"/>
        <item x="15"/>
        <item x="383"/>
        <item x="391"/>
        <item x="2"/>
        <item x="291"/>
        <item x="390"/>
        <item x="69"/>
        <item x="34"/>
        <item x="388"/>
        <item x="389"/>
        <item x="59"/>
        <item x="27"/>
        <item x="63"/>
        <item x="392"/>
        <item x="284"/>
        <item x="285"/>
        <item x="419"/>
        <item x="420"/>
        <item x="554"/>
        <item x="551"/>
        <item x="503"/>
        <item x="519"/>
        <item x="436"/>
        <item x="447"/>
        <item x="417"/>
        <item x="483"/>
        <item x="495"/>
        <item x="303"/>
        <item x="192"/>
        <item x="110"/>
        <item x="344"/>
        <item x="508"/>
        <item x="157"/>
        <item x="451"/>
        <item x="302"/>
        <item x="94"/>
        <item x="0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name="е.и." axis="axisRow" compact="0" outline="0" subtotalTop="0" showAll="0" includeNewItemsInFilter="1" defaultSubtotal="0">
      <items count="30">
        <item x="27"/>
        <item x="13"/>
        <item x="12"/>
        <item x="15"/>
        <item x="29"/>
        <item x="25"/>
        <item x="8"/>
        <item x="10"/>
        <item x="3"/>
        <item x="6"/>
        <item x="23"/>
        <item x="9"/>
        <item x="18"/>
        <item x="26"/>
        <item x="24"/>
        <item x="14"/>
        <item x="20"/>
        <item x="19"/>
        <item x="21"/>
        <item x="5"/>
        <item x="7"/>
        <item x="1"/>
        <item x="22"/>
        <item x="17"/>
        <item x="16"/>
        <item x="4"/>
        <item x="2"/>
        <item x="28"/>
        <item x="11"/>
        <item n="…" x="0"/>
      </items>
    </pivotField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name="Выборка" axis="axisPage" compact="0" outline="0" subtotalTop="0" showAll="0" includeNewItemsInFilter="1">
      <items count="5">
        <item h="1" x="0"/>
        <item x="1"/>
        <item x="2"/>
        <item h="1" x="3"/>
        <item t="default"/>
      </items>
    </pivotField>
    <pivotField compact="0" outline="0" subtotalTop="0" showAll="0" includeNewItemsInFilter="1"/>
    <pivotField name="Смета" axis="axisRow" compact="0" outline="0" subtotalTop="0" showAll="0" includeNewItemsInFilter="1" defaultSubtotal="0">
      <items count="3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m="1" x="38"/>
        <item x="0"/>
      </items>
    </pivotField>
  </pivotFields>
  <rowFields count="4">
    <field x="2"/>
    <field x="1"/>
    <field x="14"/>
    <field x="3"/>
  </rowFields>
  <rowItems count="128">
    <i>
      <x v="196"/>
      <x v="832"/>
      <x v="34"/>
      <x v="26"/>
    </i>
    <i r="1">
      <x v="850"/>
      <x v="34"/>
      <x v="26"/>
    </i>
    <i>
      <x v="149"/>
      <x v="788"/>
      <x v="31"/>
      <x v="22"/>
    </i>
    <i>
      <x v="34"/>
      <x v="794"/>
      <x v="14"/>
      <x v="26"/>
    </i>
    <i>
      <x v="438"/>
      <x v="838"/>
      <x v="16"/>
      <x v="26"/>
    </i>
    <i>
      <x v="439"/>
      <x v="783"/>
      <x v="9"/>
      <x v="26"/>
    </i>
    <i>
      <x v="176"/>
      <x v="756"/>
      <x v="20"/>
      <x v="26"/>
    </i>
    <i>
      <x v="436"/>
      <x v="744"/>
      <x v="8"/>
      <x v="26"/>
    </i>
    <i>
      <x v="401"/>
      <x v="825"/>
      <x v="34"/>
      <x v="26"/>
    </i>
    <i r="1">
      <x v="844"/>
      <x v="34"/>
      <x v="26"/>
    </i>
    <i>
      <x v="177"/>
      <x v="767"/>
      <x v="20"/>
      <x v="26"/>
    </i>
    <i>
      <x v="202"/>
      <x v="852"/>
      <x v="34"/>
      <x v="26"/>
    </i>
    <i>
      <x v="428"/>
      <x v="863"/>
      <x v="34"/>
      <x v="26"/>
    </i>
    <i>
      <x v="425"/>
      <x v="864"/>
      <x v="34"/>
      <x v="26"/>
    </i>
    <i>
      <x v="175"/>
      <x v="745"/>
      <x v="20"/>
      <x v="26"/>
    </i>
    <i>
      <x v="427"/>
      <x v="861"/>
      <x v="34"/>
      <x v="26"/>
    </i>
    <i>
      <x v="110"/>
      <x v="764"/>
      <x v="34"/>
      <x v="26"/>
    </i>
    <i r="1">
      <x v="768"/>
      <x v="34"/>
      <x v="26"/>
    </i>
    <i>
      <x v="561"/>
      <x v="787"/>
      <x v="30"/>
      <x v="26"/>
    </i>
    <i>
      <x v="206"/>
      <x v="831"/>
      <x v="34"/>
      <x v="26"/>
    </i>
    <i r="1">
      <x v="848"/>
      <x v="34"/>
      <x v="26"/>
    </i>
    <i>
      <x v="204"/>
      <x v="830"/>
      <x v="34"/>
      <x v="26"/>
    </i>
    <i r="1">
      <x v="847"/>
      <x v="34"/>
      <x v="26"/>
    </i>
    <i>
      <x v="75"/>
      <x v="817"/>
      <x v="34"/>
      <x v="18"/>
    </i>
    <i>
      <x v="152"/>
      <x v="789"/>
      <x v="31"/>
      <x v="26"/>
    </i>
    <i>
      <x v="141"/>
      <x v="849"/>
      <x v="20"/>
      <x v="26"/>
    </i>
    <i>
      <x v="147"/>
      <x v="862"/>
      <x v="34"/>
      <x v="26"/>
    </i>
    <i>
      <x v="429"/>
      <x v="856"/>
      <x v="34"/>
      <x v="26"/>
    </i>
    <i r="1">
      <x v="867"/>
      <x v="34"/>
      <x v="26"/>
    </i>
    <i>
      <x v="80"/>
      <x v="818"/>
      <x v="34"/>
      <x v="18"/>
    </i>
    <i>
      <x v="415"/>
      <x v="815"/>
      <x v="34"/>
      <x v="26"/>
    </i>
    <i>
      <x v="146"/>
      <x v="866"/>
      <x v="34"/>
      <x v="26"/>
    </i>
    <i>
      <x v="111"/>
      <x v="829"/>
      <x v="34"/>
      <x v="26"/>
    </i>
    <i r="1">
      <x v="846"/>
      <x v="34"/>
      <x v="26"/>
    </i>
    <i>
      <x v="77"/>
      <x v="820"/>
      <x v="34"/>
      <x v="18"/>
    </i>
    <i>
      <x v="198"/>
      <x v="765"/>
      <x v="34"/>
      <x v="26"/>
    </i>
    <i r="1">
      <x v="769"/>
      <x v="34"/>
      <x v="26"/>
    </i>
    <i>
      <x v="74"/>
      <x v="819"/>
      <x v="34"/>
      <x v="18"/>
    </i>
    <i>
      <x v="89"/>
      <x v="777"/>
      <x v="23"/>
      <x v="26"/>
    </i>
    <i>
      <x v="83"/>
      <x v="821"/>
      <x v="34"/>
      <x v="26"/>
    </i>
    <i>
      <x v="558"/>
      <x v="824"/>
      <x v="34"/>
      <x v="26"/>
    </i>
    <i r="1">
      <x v="843"/>
      <x v="34"/>
      <x v="26"/>
    </i>
    <i>
      <x v="345"/>
      <x v="805"/>
      <x v="14"/>
      <x v="26"/>
    </i>
    <i>
      <x v="562"/>
      <x v="776"/>
      <x v="20"/>
      <x v="26"/>
    </i>
    <i>
      <x v="550"/>
      <x v="826"/>
      <x v="34"/>
      <x v="26"/>
    </i>
    <i r="1">
      <x v="845"/>
      <x v="34"/>
      <x v="26"/>
    </i>
    <i>
      <x v="73"/>
      <x v="810"/>
      <x v="34"/>
      <x v="26"/>
    </i>
    <i>
      <x v="199"/>
      <x v="833"/>
      <x v="34"/>
      <x v="26"/>
    </i>
    <i r="1">
      <x v="851"/>
      <x v="34"/>
      <x v="26"/>
    </i>
    <i>
      <x v="347"/>
      <x v="865"/>
      <x v="34"/>
      <x v="26"/>
    </i>
    <i>
      <x v="51"/>
      <x v="749"/>
      <x v="34"/>
      <x v="26"/>
    </i>
    <i r="1">
      <x v="755"/>
      <x v="34"/>
      <x v="26"/>
    </i>
    <i>
      <x v="200"/>
      <x v="834"/>
      <x v="34"/>
      <x v="26"/>
    </i>
    <i>
      <x v="551"/>
      <x v="828"/>
      <x v="34"/>
      <x v="26"/>
    </i>
    <i>
      <x v="503"/>
      <x v="747"/>
      <x v="34"/>
      <x v="26"/>
    </i>
    <i>
      <x v="109"/>
      <x v="754"/>
      <x v="34"/>
      <x v="26"/>
    </i>
    <i r="1">
      <x v="762"/>
      <x v="34"/>
      <x v="26"/>
    </i>
    <i>
      <x v="23"/>
      <x v="752"/>
      <x v="34"/>
      <x v="26"/>
    </i>
    <i r="1">
      <x v="760"/>
      <x v="34"/>
      <x v="26"/>
    </i>
    <i>
      <x v="201"/>
      <x v="835"/>
      <x v="34"/>
      <x v="26"/>
    </i>
    <i>
      <x v="205"/>
      <x v="836"/>
      <x v="34"/>
      <x v="26"/>
    </i>
    <i>
      <x v="22"/>
      <x v="857"/>
      <x v="34"/>
      <x v="26"/>
    </i>
    <i r="1">
      <x v="868"/>
      <x v="34"/>
      <x v="26"/>
    </i>
    <i>
      <x v="140"/>
      <x v="839"/>
      <x v="34"/>
      <x v="26"/>
    </i>
    <i r="1">
      <x v="854"/>
      <x v="34"/>
      <x v="26"/>
    </i>
    <i>
      <x v="203"/>
      <x v="753"/>
      <x v="34"/>
      <x v="26"/>
    </i>
    <i r="1">
      <x v="761"/>
      <x v="34"/>
      <x v="26"/>
    </i>
    <i>
      <x v="151"/>
      <x v="774"/>
      <x v="38"/>
      <x v="26"/>
    </i>
    <i>
      <x v="30"/>
      <x v="793"/>
      <x v="31"/>
      <x v="26"/>
    </i>
    <i>
      <x v="189"/>
      <x v="809"/>
      <x v="34"/>
      <x v="26"/>
    </i>
    <i>
      <x v="553"/>
      <x v="773"/>
      <x v="38"/>
      <x v="26"/>
    </i>
    <i>
      <x v="528"/>
      <x v="799"/>
      <x v="31"/>
      <x v="26"/>
    </i>
    <i>
      <x v="296"/>
      <x v="859"/>
      <x v="34"/>
      <x v="26"/>
    </i>
    <i r="1">
      <x v="870"/>
      <x v="34"/>
      <x v="26"/>
    </i>
    <i>
      <x v="409"/>
      <x v="751"/>
      <x v="34"/>
      <x v="26"/>
    </i>
    <i r="1">
      <x v="758"/>
      <x v="34"/>
      <x v="26"/>
    </i>
    <i r="1">
      <x v="763"/>
      <x v="34"/>
      <x v="26"/>
    </i>
    <i r="1">
      <x v="766"/>
      <x v="34"/>
      <x v="26"/>
    </i>
    <i>
      <x v="382"/>
      <x v="858"/>
      <x v="34"/>
      <x v="26"/>
    </i>
    <i r="1">
      <x v="869"/>
      <x v="34"/>
      <x v="26"/>
    </i>
    <i>
      <x v="150"/>
      <x v="775"/>
      <x v="38"/>
      <x v="26"/>
    </i>
    <i>
      <x v="29"/>
      <x v="795"/>
      <x v="31"/>
      <x v="26"/>
    </i>
    <i>
      <x v="28"/>
      <x v="796"/>
      <x v="31"/>
      <x v="26"/>
    </i>
    <i>
      <x v="378"/>
      <x v="772"/>
      <x v="35"/>
      <x v="26"/>
    </i>
    <i>
      <x v="377"/>
      <x v="814"/>
      <x v="34"/>
      <x v="26"/>
    </i>
    <i>
      <x v="376"/>
      <x v="812"/>
      <x v="34"/>
      <x v="26"/>
    </i>
    <i>
      <x v="379"/>
      <x v="813"/>
      <x v="34"/>
      <x v="26"/>
    </i>
    <i>
      <x v="380"/>
      <x v="811"/>
      <x v="34"/>
      <x v="26"/>
    </i>
    <i>
      <x v="32"/>
      <x v="792"/>
      <x v="31"/>
      <x v="26"/>
    </i>
    <i>
      <x v="466"/>
      <x v="804"/>
      <x v="34"/>
      <x v="26"/>
    </i>
    <i>
      <x v="194"/>
      <x v="790"/>
      <x v="31"/>
      <x v="19"/>
    </i>
    <i>
      <x v="435"/>
      <x v="860"/>
      <x v="20"/>
      <x v="26"/>
    </i>
    <i>
      <x v="27"/>
      <x v="797"/>
      <x v="31"/>
      <x v="26"/>
    </i>
    <i>
      <x v="460"/>
      <x v="842"/>
      <x v="34"/>
      <x v="26"/>
    </i>
    <i>
      <x v="308"/>
      <x v="822"/>
      <x v="34"/>
      <x v="26"/>
    </i>
    <i>
      <x v="26"/>
      <x v="798"/>
      <x v="31"/>
      <x v="26"/>
    </i>
    <i>
      <x v="472"/>
      <x v="841"/>
      <x v="34"/>
      <x v="26"/>
    </i>
    <i>
      <x v="467"/>
      <x v="770"/>
      <x v="35"/>
      <x v="26"/>
    </i>
    <i>
      <x v="465"/>
      <x v="803"/>
      <x v="34"/>
      <x v="26"/>
    </i>
    <i>
      <x v="468"/>
      <x v="806"/>
      <x v="34"/>
      <x v="26"/>
    </i>
    <i>
      <x v="81"/>
      <x v="771"/>
      <x v="35"/>
      <x v="26"/>
    </i>
    <i r="1">
      <x v="807"/>
      <x v="34"/>
      <x v="26"/>
    </i>
    <i>
      <x v="373"/>
      <x v="823"/>
      <x v="34"/>
      <x v="26"/>
    </i>
    <i>
      <x v="469"/>
      <x v="750"/>
      <x v="34"/>
      <x v="26"/>
    </i>
    <i r="1">
      <x v="757"/>
      <x v="34"/>
      <x v="26"/>
    </i>
    <i>
      <x v="371"/>
      <x v="801"/>
      <x v="31"/>
      <x v="26"/>
    </i>
    <i>
      <x v="31"/>
      <x v="791"/>
      <x v="31"/>
      <x v="26"/>
    </i>
    <i>
      <x v="207"/>
      <x v="837"/>
      <x v="34"/>
      <x v="26"/>
    </i>
    <i r="1">
      <x v="853"/>
      <x v="34"/>
      <x v="26"/>
    </i>
    <i>
      <x v="144"/>
      <x v="840"/>
      <x v="34"/>
      <x v="26"/>
    </i>
    <i r="1">
      <x v="855"/>
      <x v="34"/>
      <x v="26"/>
    </i>
    <i>
      <x v="431"/>
      <x v="746"/>
      <x v="34"/>
      <x v="26"/>
    </i>
    <i>
      <x v="344"/>
      <x v="748"/>
      <x v="34"/>
      <x v="26"/>
    </i>
    <i>
      <x v="411"/>
      <x v="800"/>
      <x v="31"/>
      <x v="26"/>
    </i>
    <i>
      <x v="187"/>
      <x v="808"/>
      <x v="34"/>
      <x v="26"/>
    </i>
    <i>
      <x v="314"/>
      <x v="816"/>
      <x v="14"/>
      <x v="26"/>
    </i>
    <i>
      <x v="462"/>
      <x v="802"/>
      <x v="34"/>
      <x v="26"/>
    </i>
    <i>
      <x v="70"/>
      <x v="779"/>
      <x v="26"/>
      <x v="26"/>
    </i>
    <i r="1">
      <x v="784"/>
      <x v="27"/>
      <x v="26"/>
    </i>
    <i>
      <x v="410"/>
      <x v="759"/>
      <x v="34"/>
      <x v="26"/>
    </i>
    <i>
      <x v="549"/>
      <x v="786"/>
      <x v="27"/>
      <x v="26"/>
    </i>
    <i>
      <x v="67"/>
      <x v="778"/>
      <x v="26"/>
      <x v="26"/>
    </i>
    <i r="1">
      <x v="782"/>
      <x v="27"/>
      <x v="26"/>
    </i>
    <i>
      <x v="315"/>
      <x v="827"/>
      <x v="14"/>
      <x v="26"/>
    </i>
    <i>
      <x v="69"/>
      <x v="781"/>
      <x v="27"/>
      <x v="26"/>
    </i>
    <i>
      <x v="68"/>
      <x v="780"/>
      <x v="27"/>
      <x v="26"/>
    </i>
    <i>
      <x v="548"/>
      <x v="785"/>
      <x v="27"/>
      <x v="26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2" hier="0"/>
  </pageFields>
  <dataFields count="4">
    <dataField name="Кол-во" fld="4" baseField="0" baseItem="0"/>
    <dataField name="цена база за ед." fld="8" baseField="0" baseItem="0"/>
    <dataField name="Всего база" fld="7" subtotal="max" baseField="0" baseItem="0"/>
    <dataField name="Всего" fld="10" baseField="0" baseItem="0"/>
  </dataFields>
  <formats count="23">
    <format dxfId="22">
      <pivotArea dataOnly="0" labelOnly="1" outline="0" fieldPosition="0">
        <references count="1">
          <reference field="2" count="0"/>
        </references>
      </pivotArea>
    </format>
    <format dxfId="21">
      <pivotArea type="all" dataOnly="0" outline="0" fieldPosition="0"/>
    </format>
    <format dxfId="20">
      <pivotArea dataOnly="0" outline="0" fieldPosition="0">
        <references count="1">
          <reference field="4294967294" count="1">
            <x v="2"/>
          </reference>
        </references>
      </pivotArea>
    </format>
    <format dxfId="19">
      <pivotArea dataOnly="0" outline="0" fieldPosition="0">
        <references count="1">
          <reference field="4294967294" count="1">
            <x v="1"/>
          </reference>
        </references>
      </pivotArea>
    </format>
    <format dxfId="1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7">
      <pivotArea field="2" type="button" dataOnly="0" labelOnly="1" outline="0" axis="axisRow" fieldPosition="0"/>
    </format>
    <format dxfId="16">
      <pivotArea field="1" type="button" dataOnly="0" labelOnly="1" outline="0" axis="axisRow" fieldPosition="1"/>
    </format>
    <format dxfId="15">
      <pivotArea field="14" type="button" dataOnly="0" labelOnly="1" outline="0" axis="axisRow" fieldPosition="2"/>
    </format>
    <format dxfId="14">
      <pivotArea field="3" type="button" dataOnly="0" labelOnly="1" outline="0" axis="axisRow" fieldPosition="3"/>
    </format>
    <format dxfId="13">
      <pivotArea dataOnly="0" labelOnly="1" outline="0" fieldPosition="0">
        <references count="1">
          <reference field="4294967294" count="0"/>
        </references>
      </pivotArea>
    </format>
    <format dxfId="12">
      <pivotArea field="2" type="button" dataOnly="0" labelOnly="1" outline="0" axis="axisRow" fieldPosition="0"/>
    </format>
    <format dxfId="11">
      <pivotArea field="1" type="button" dataOnly="0" labelOnly="1" outline="0" axis="axisRow" fieldPosition="1"/>
    </format>
    <format dxfId="10">
      <pivotArea field="14" type="button" dataOnly="0" labelOnly="1" outline="0" axis="axisRow" fieldPosition="2"/>
    </format>
    <format dxfId="9">
      <pivotArea field="3" type="button" dataOnly="0" labelOnly="1" outline="0" axis="axisRow" fieldPosition="3"/>
    </format>
    <format dxfId="8">
      <pivotArea dataOnly="0" labelOnly="1" outline="0" fieldPosition="0">
        <references count="1">
          <reference field="4294967294" count="0"/>
        </references>
      </pivotArea>
    </format>
    <format dxfId="7">
      <pivotArea field="2" type="button" dataOnly="0" labelOnly="1" outline="0" axis="axisRow" fieldPosition="0"/>
    </format>
    <format dxfId="6">
      <pivotArea field="1" type="button" dataOnly="0" labelOnly="1" outline="0" axis="axisRow" fieldPosition="1"/>
    </format>
    <format dxfId="5">
      <pivotArea field="14" type="button" dataOnly="0" labelOnly="1" outline="0" axis="axisRow" fieldPosition="2"/>
    </format>
    <format dxfId="4">
      <pivotArea field="3" type="button" dataOnly="0" labelOnly="1" outline="0" axis="axisRow" fieldPosition="3"/>
    </format>
    <format dxfId="3">
      <pivotArea dataOnly="0" labelOnly="1" outline="0" fieldPosition="0">
        <references count="1">
          <reference field="4294967294" count="0"/>
        </references>
      </pivotArea>
    </format>
    <format dxfId="2">
      <pivotArea dataOnly="0" grandRow="1" outline="0" fieldPosition="0"/>
    </format>
    <format dxfId="1">
      <pivotArea dataOnly="0" grandRow="1" outline="0" fieldPosition="0"/>
    </format>
    <format dxfId="0">
      <pivotArea dataOnly="0" outline="0" fieldPosition="0">
        <references count="1">
          <reference field="4294967294" count="1">
            <x v="3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2" tint="-0.249977111117893"/>
    <pageSetUpPr fitToPage="1"/>
  </sheetPr>
  <dimension ref="A1:Q972"/>
  <sheetViews>
    <sheetView topLeftCell="B7" workbookViewId="0"/>
  </sheetViews>
  <sheetFormatPr defaultColWidth="9.1796875" defaultRowHeight="13" outlineLevelRow="1" outlineLevelCol="1" x14ac:dyDescent="0.3"/>
  <cols>
    <col min="1" max="1" width="4.81640625" style="31" hidden="1" customWidth="1" outlineLevel="1"/>
    <col min="2" max="2" width="7.1796875" style="10" customWidth="1" collapsed="1"/>
    <col min="3" max="3" width="8.7265625" style="27" customWidth="1"/>
    <col min="4" max="4" width="43.54296875" style="10" customWidth="1"/>
    <col min="5" max="5" width="7" style="27" customWidth="1"/>
    <col min="6" max="6" width="10.54296875" style="18" bestFit="1" customWidth="1"/>
    <col min="7" max="7" width="14.1796875" style="12" customWidth="1"/>
    <col min="8" max="10" width="11.1796875" style="291" hidden="1" customWidth="1" outlineLevel="1"/>
    <col min="11" max="11" width="16" style="19" hidden="1" customWidth="1" outlineLevel="1"/>
    <col min="12" max="12" width="16" style="19" customWidth="1" collapsed="1"/>
    <col min="13" max="13" width="2.54296875" style="444" customWidth="1"/>
    <col min="14" max="15" width="17.7265625" style="27" hidden="1" customWidth="1" outlineLevel="1"/>
    <col min="16" max="16" width="17.7265625" style="27" hidden="1" customWidth="1" outlineLevel="1" collapsed="1"/>
    <col min="17" max="17" width="2.54296875" style="9" customWidth="1" collapsed="1"/>
    <col min="18" max="16384" width="9.1796875" style="9"/>
  </cols>
  <sheetData>
    <row r="1" spans="1:16" hidden="1" outlineLevel="1" x14ac:dyDescent="0.3">
      <c r="B1" s="557" t="s">
        <v>1737</v>
      </c>
      <c r="C1" s="554">
        <v>3.5000000000000003E-2</v>
      </c>
      <c r="E1" s="552"/>
    </row>
    <row r="2" spans="1:16" hidden="1" outlineLevel="1" x14ac:dyDescent="0.3">
      <c r="B2" s="558" t="s">
        <v>1738</v>
      </c>
      <c r="C2" s="555">
        <v>5.5E-2</v>
      </c>
      <c r="E2" s="552"/>
    </row>
    <row r="3" spans="1:16" ht="13.5" hidden="1" outlineLevel="1" thickBot="1" x14ac:dyDescent="0.35">
      <c r="B3" s="559" t="s">
        <v>1739</v>
      </c>
      <c r="C3" s="556">
        <v>4.99E-2</v>
      </c>
      <c r="E3" s="552"/>
    </row>
    <row r="4" spans="1:16" hidden="1" outlineLevel="1" x14ac:dyDescent="0.3">
      <c r="B4" s="71" t="s">
        <v>963</v>
      </c>
      <c r="C4" s="74">
        <f>ROUND((1+зим+вахта)*(1+врем),2)</f>
        <v>1.1399999999999999</v>
      </c>
      <c r="D4" s="552"/>
      <c r="E4" s="12"/>
      <c r="L4"/>
    </row>
    <row r="5" spans="1:16" hidden="1" outlineLevel="1" x14ac:dyDescent="0.3">
      <c r="B5" s="72" t="s">
        <v>964</v>
      </c>
      <c r="C5" s="75">
        <v>6.5</v>
      </c>
      <c r="D5" s="27"/>
      <c r="E5" s="12"/>
      <c r="L5"/>
    </row>
    <row r="6" spans="1:16" ht="13.5" hidden="1" outlineLevel="1" thickBot="1" x14ac:dyDescent="0.35">
      <c r="B6" s="73" t="s">
        <v>226</v>
      </c>
      <c r="C6" s="76">
        <v>3.36</v>
      </c>
      <c r="D6" s="27"/>
      <c r="E6" s="12"/>
      <c r="L6"/>
    </row>
    <row r="7" spans="1:16" collapsed="1" x14ac:dyDescent="0.3">
      <c r="K7" s="35"/>
      <c r="L7" s="35" t="s">
        <v>780</v>
      </c>
    </row>
    <row r="8" spans="1:16" x14ac:dyDescent="0.3">
      <c r="K8" s="35"/>
      <c r="L8" s="35" t="s">
        <v>801</v>
      </c>
    </row>
    <row r="9" spans="1:16" s="46" customFormat="1" ht="30" x14ac:dyDescent="0.3">
      <c r="A9" s="42"/>
      <c r="B9" s="43" t="s">
        <v>99</v>
      </c>
      <c r="C9" s="43"/>
      <c r="D9" s="43"/>
      <c r="E9" s="43"/>
      <c r="F9" s="43"/>
      <c r="G9" s="44"/>
      <c r="H9" s="292"/>
      <c r="I9" s="292"/>
      <c r="J9" s="292"/>
      <c r="K9" s="45"/>
      <c r="L9" s="45"/>
      <c r="M9" s="445"/>
      <c r="N9" s="43"/>
      <c r="O9" s="43"/>
      <c r="P9" s="43"/>
    </row>
    <row r="10" spans="1:16" s="1" customFormat="1" ht="15.5" x14ac:dyDescent="0.35">
      <c r="A10" s="31"/>
      <c r="B10" s="8"/>
      <c r="C10" s="24"/>
      <c r="D10" s="2"/>
      <c r="E10" s="24"/>
      <c r="F10" s="2"/>
      <c r="G10" s="2"/>
      <c r="H10" s="293"/>
      <c r="I10" s="293"/>
      <c r="J10" s="293"/>
      <c r="K10" s="25"/>
      <c r="L10" s="25"/>
      <c r="M10" s="446"/>
      <c r="N10" s="24"/>
      <c r="O10" s="24"/>
      <c r="P10" s="24"/>
    </row>
    <row r="11" spans="1:16" s="1" customFormat="1" ht="18" x14ac:dyDescent="0.4">
      <c r="A11" s="31"/>
      <c r="B11" s="47" t="s">
        <v>946</v>
      </c>
      <c r="C11" s="48"/>
      <c r="D11" s="47"/>
      <c r="E11" s="47"/>
      <c r="F11" s="47"/>
      <c r="G11" s="49"/>
      <c r="H11" s="294"/>
      <c r="I11" s="294"/>
      <c r="J11" s="294"/>
      <c r="K11" s="47"/>
      <c r="L11" s="47"/>
      <c r="M11" s="446"/>
      <c r="N11" s="47"/>
      <c r="O11" s="47"/>
      <c r="P11" s="47"/>
    </row>
    <row r="12" spans="1:16" ht="13.5" thickBot="1" x14ac:dyDescent="0.35">
      <c r="C12" s="26"/>
      <c r="D12" s="3"/>
      <c r="E12" s="26"/>
      <c r="F12" s="4"/>
      <c r="G12" s="11"/>
      <c r="H12" s="295"/>
      <c r="I12" s="295"/>
      <c r="J12" s="295"/>
      <c r="K12" s="32" t="s">
        <v>968</v>
      </c>
      <c r="L12" s="32" t="s">
        <v>968</v>
      </c>
      <c r="N12" s="26"/>
      <c r="O12" s="26"/>
      <c r="P12" s="26"/>
    </row>
    <row r="13" spans="1:16" s="6" customFormat="1" x14ac:dyDescent="0.25">
      <c r="A13" s="806" t="s">
        <v>1180</v>
      </c>
      <c r="B13" s="810" t="s">
        <v>945</v>
      </c>
      <c r="C13" s="802" t="s">
        <v>966</v>
      </c>
      <c r="D13" s="808" t="s">
        <v>972</v>
      </c>
      <c r="E13" s="802" t="s">
        <v>943</v>
      </c>
      <c r="F13" s="69" t="s">
        <v>944</v>
      </c>
      <c r="G13" s="69"/>
      <c r="H13" s="296"/>
      <c r="I13" s="338"/>
      <c r="J13" s="338"/>
      <c r="K13" s="40"/>
      <c r="L13" s="40"/>
      <c r="M13" s="447"/>
      <c r="N13" s="804" t="s">
        <v>100</v>
      </c>
      <c r="O13" s="804" t="s">
        <v>940</v>
      </c>
      <c r="P13" s="804" t="s">
        <v>11</v>
      </c>
    </row>
    <row r="14" spans="1:16" s="6" customFormat="1" ht="26" x14ac:dyDescent="0.25">
      <c r="A14" s="807"/>
      <c r="B14" s="811"/>
      <c r="C14" s="803"/>
      <c r="D14" s="809"/>
      <c r="E14" s="803"/>
      <c r="F14" s="68" t="s">
        <v>973</v>
      </c>
      <c r="G14" s="70" t="s">
        <v>1752</v>
      </c>
      <c r="H14" s="297" t="s">
        <v>403</v>
      </c>
      <c r="I14" s="339" t="s">
        <v>1165</v>
      </c>
      <c r="J14" s="339" t="s">
        <v>58</v>
      </c>
      <c r="K14" s="54" t="s">
        <v>974</v>
      </c>
      <c r="L14" s="54" t="s">
        <v>974</v>
      </c>
      <c r="M14" s="447"/>
      <c r="N14" s="805" t="s">
        <v>100</v>
      </c>
      <c r="O14" s="805"/>
      <c r="P14" s="805"/>
    </row>
    <row r="15" spans="1:16" s="5" customFormat="1" ht="13.5" thickBot="1" x14ac:dyDescent="0.35">
      <c r="A15" s="50"/>
      <c r="B15" s="115" t="s">
        <v>844</v>
      </c>
      <c r="C15" s="116">
        <v>2</v>
      </c>
      <c r="D15" s="116">
        <v>3</v>
      </c>
      <c r="E15" s="116">
        <v>4</v>
      </c>
      <c r="F15" s="117">
        <v>5</v>
      </c>
      <c r="G15" s="117">
        <v>6</v>
      </c>
      <c r="H15" s="298" t="s">
        <v>49</v>
      </c>
      <c r="I15" s="340" t="s">
        <v>50</v>
      </c>
      <c r="J15" s="340" t="s">
        <v>51</v>
      </c>
      <c r="K15" s="118" t="s">
        <v>59</v>
      </c>
      <c r="L15" s="118">
        <v>7</v>
      </c>
      <c r="M15" s="448" t="s">
        <v>52</v>
      </c>
      <c r="N15" s="290" t="s">
        <v>53</v>
      </c>
      <c r="O15" s="290" t="s">
        <v>54</v>
      </c>
      <c r="P15" s="290" t="s">
        <v>55</v>
      </c>
    </row>
    <row r="16" spans="1:16" s="5" customFormat="1" ht="15" x14ac:dyDescent="0.3">
      <c r="A16" s="52">
        <v>0</v>
      </c>
      <c r="B16" s="285" t="s">
        <v>957</v>
      </c>
      <c r="C16" s="170"/>
      <c r="D16" s="171"/>
      <c r="E16" s="170"/>
      <c r="F16" s="172"/>
      <c r="G16" s="173"/>
      <c r="H16" s="299"/>
      <c r="I16" s="341"/>
      <c r="J16" s="341"/>
      <c r="K16" s="174"/>
      <c r="L16" s="174"/>
      <c r="M16" s="449"/>
      <c r="N16" s="288" t="e">
        <f>IF(ISNA(MATCH(C16,#REF!,0)),"",INDEX(#REF!,MATCH(C16,#REF!,0)))</f>
        <v>#REF!</v>
      </c>
      <c r="O16" s="289" t="e">
        <f>SUMIF(#REF!,C16,#REF!)</f>
        <v>#REF!</v>
      </c>
      <c r="P16" s="368"/>
    </row>
    <row r="17" spans="1:16" s="23" customFormat="1" ht="39" x14ac:dyDescent="0.3">
      <c r="A17" s="51"/>
      <c r="B17" s="175" t="s">
        <v>955</v>
      </c>
      <c r="C17" s="176" t="s">
        <v>1225</v>
      </c>
      <c r="D17" s="177" t="s">
        <v>958</v>
      </c>
      <c r="E17" s="178"/>
      <c r="F17" s="179"/>
      <c r="G17" s="180"/>
      <c r="H17" s="300">
        <f>H18+H31+H47</f>
        <v>269007</v>
      </c>
      <c r="I17" s="300"/>
      <c r="J17" s="342"/>
      <c r="K17" s="119">
        <f>K18+K31+K47</f>
        <v>1993341.87</v>
      </c>
      <c r="L17" s="119" t="e">
        <f>L18+L31+L47</f>
        <v>#REF!</v>
      </c>
      <c r="M17" s="450" t="s">
        <v>1164</v>
      </c>
      <c r="N17" s="120" t="e">
        <f>IF(ISNA(MATCH(C17,#REF!,0)),"",INDEX(#REF!,MATCH(C17,#REF!,0)))</f>
        <v>#REF!</v>
      </c>
      <c r="O17" s="121" t="e">
        <f>SUMIF(#REF!,C17,#REF!)</f>
        <v>#REF!</v>
      </c>
      <c r="P17" s="121" t="s">
        <v>12</v>
      </c>
    </row>
    <row r="18" spans="1:16" s="23" customFormat="1" x14ac:dyDescent="0.3">
      <c r="A18" s="51"/>
      <c r="B18" s="125" t="s">
        <v>956</v>
      </c>
      <c r="C18" s="286" t="s">
        <v>1177</v>
      </c>
      <c r="D18" s="598" t="s">
        <v>102</v>
      </c>
      <c r="E18" s="233"/>
      <c r="F18" s="234"/>
      <c r="G18" s="235"/>
      <c r="H18" s="301">
        <f>SUM(H19:H30)</f>
        <v>67025</v>
      </c>
      <c r="I18" s="301"/>
      <c r="J18" s="343"/>
      <c r="K18" s="236">
        <f>SUM(K19:K30)</f>
        <v>496655.25</v>
      </c>
      <c r="L18" s="236" t="e">
        <f>SUM(L19:L30)</f>
        <v>#REF!</v>
      </c>
      <c r="M18" s="449"/>
      <c r="N18" s="126" t="e">
        <f>IF(ISNA(MATCH(C18,#REF!,0)),"",INDEX(#REF!,MATCH(C18,#REF!,0)))</f>
        <v>#REF!</v>
      </c>
      <c r="O18" s="127" t="e">
        <f>SUMIF(#REF!,C18,#REF!)</f>
        <v>#REF!</v>
      </c>
      <c r="P18" s="127" t="s">
        <v>13</v>
      </c>
    </row>
    <row r="19" spans="1:16" s="7" customFormat="1" ht="39" x14ac:dyDescent="0.25">
      <c r="A19" s="38"/>
      <c r="B19" s="122"/>
      <c r="C19" s="181" t="s">
        <v>1226</v>
      </c>
      <c r="D19" s="182" t="s">
        <v>1724</v>
      </c>
      <c r="E19" s="183" t="s">
        <v>1176</v>
      </c>
      <c r="F19" s="184">
        <v>5.84</v>
      </c>
      <c r="G19" s="185">
        <f>K19/F19</f>
        <v>23795.743150684928</v>
      </c>
      <c r="H19" s="302">
        <f>4246+13803+705</f>
        <v>18754</v>
      </c>
      <c r="I19" s="344"/>
      <c r="J19" s="344"/>
      <c r="K19" s="186">
        <f t="shared" ref="K19:K30" si="0">H19*$C$4*$C$5</f>
        <v>138967.13999999998</v>
      </c>
      <c r="L19" s="321" t="e">
        <f t="shared" ref="L19:L30" si="1">IF(N19="поставка Заказчика",N19,K19)</f>
        <v>#REF!</v>
      </c>
      <c r="M19" s="451"/>
      <c r="N19" s="123" t="e">
        <f>IF(ISNA(MATCH(C19,#REF!,0)),"",INDEX(#REF!,MATCH(C19,#REF!,0)))</f>
        <v>#REF!</v>
      </c>
      <c r="O19" s="124" t="e">
        <f>SUMIF(#REF!,C19,#REF!)</f>
        <v>#REF!</v>
      </c>
      <c r="P19" s="124" t="s">
        <v>13</v>
      </c>
    </row>
    <row r="20" spans="1:16" s="7" customFormat="1" ht="39" x14ac:dyDescent="0.25">
      <c r="A20" s="38"/>
      <c r="B20" s="122"/>
      <c r="C20" s="181" t="s">
        <v>1227</v>
      </c>
      <c r="D20" s="182" t="s">
        <v>959</v>
      </c>
      <c r="E20" s="183" t="s">
        <v>970</v>
      </c>
      <c r="F20" s="184">
        <v>8</v>
      </c>
      <c r="G20" s="185">
        <f>K20/F20</f>
        <v>1098.5325</v>
      </c>
      <c r="H20" s="187">
        <v>1186</v>
      </c>
      <c r="I20" s="244"/>
      <c r="J20" s="244"/>
      <c r="K20" s="186">
        <f t="shared" si="0"/>
        <v>8788.26</v>
      </c>
      <c r="L20" s="321" t="e">
        <f t="shared" si="1"/>
        <v>#REF!</v>
      </c>
      <c r="M20" s="451"/>
      <c r="N20" s="123" t="e">
        <f>IF(ISNA(MATCH(C20,#REF!,0)),"",INDEX(#REF!,MATCH(C20,#REF!,0)))</f>
        <v>#REF!</v>
      </c>
      <c r="O20" s="124" t="e">
        <f>SUMIF(#REF!,C20,#REF!)</f>
        <v>#REF!</v>
      </c>
      <c r="P20" s="124" t="s">
        <v>13</v>
      </c>
    </row>
    <row r="21" spans="1:16" s="7" customFormat="1" ht="26" x14ac:dyDescent="0.25">
      <c r="A21" s="38"/>
      <c r="B21" s="122"/>
      <c r="C21" s="181" t="s">
        <v>1228</v>
      </c>
      <c r="D21" s="182" t="s">
        <v>960</v>
      </c>
      <c r="E21" s="183" t="s">
        <v>977</v>
      </c>
      <c r="F21" s="316">
        <v>0.76800000000000002</v>
      </c>
      <c r="G21" s="185">
        <f>H21/F21</f>
        <v>529.94791666666663</v>
      </c>
      <c r="H21" s="303">
        <f>193+193+21</f>
        <v>407</v>
      </c>
      <c r="I21" s="345"/>
      <c r="J21" s="345"/>
      <c r="K21" s="186">
        <f t="shared" si="0"/>
        <v>3015.87</v>
      </c>
      <c r="L21" s="321" t="e">
        <f t="shared" si="1"/>
        <v>#REF!</v>
      </c>
      <c r="M21" s="451"/>
      <c r="N21" s="123" t="e">
        <f>IF(ISNA(MATCH(C21,#REF!,0)),"",INDEX(#REF!,MATCH(C21,#REF!,0)))</f>
        <v>#REF!</v>
      </c>
      <c r="O21" s="124" t="e">
        <f>SUMIF(#REF!,C21,#REF!)</f>
        <v>#REF!</v>
      </c>
      <c r="P21" s="124" t="s">
        <v>13</v>
      </c>
    </row>
    <row r="22" spans="1:16" s="7" customFormat="1" ht="39" x14ac:dyDescent="0.25">
      <c r="A22" s="38"/>
      <c r="B22" s="122"/>
      <c r="C22" s="181" t="s">
        <v>1229</v>
      </c>
      <c r="D22" s="602" t="s">
        <v>1760</v>
      </c>
      <c r="E22" s="183" t="s">
        <v>977</v>
      </c>
      <c r="F22" s="184">
        <v>0.28799999999999998</v>
      </c>
      <c r="G22" s="185">
        <f t="shared" ref="G22:G30" si="2">K22/F22</f>
        <v>3267.604166666667</v>
      </c>
      <c r="H22" s="302">
        <f>51+76</f>
        <v>127</v>
      </c>
      <c r="I22" s="344"/>
      <c r="J22" s="344"/>
      <c r="K22" s="186">
        <f t="shared" si="0"/>
        <v>941.07</v>
      </c>
      <c r="L22" s="321" t="e">
        <f t="shared" si="1"/>
        <v>#REF!</v>
      </c>
      <c r="M22" s="451"/>
      <c r="N22" s="123" t="e">
        <f>IF(ISNA(MATCH(C22,#REF!,0)),"",INDEX(#REF!,MATCH(C22,#REF!,0)))</f>
        <v>#REF!</v>
      </c>
      <c r="O22" s="124" t="e">
        <f>SUMIF(#REF!,C22,#REF!)</f>
        <v>#REF!</v>
      </c>
      <c r="P22" s="124" t="s">
        <v>13</v>
      </c>
    </row>
    <row r="23" spans="1:16" s="7" customFormat="1" ht="26" x14ac:dyDescent="0.25">
      <c r="A23" s="38"/>
      <c r="B23" s="122"/>
      <c r="C23" s="181" t="s">
        <v>1230</v>
      </c>
      <c r="D23" s="188" t="s">
        <v>962</v>
      </c>
      <c r="E23" s="183" t="s">
        <v>969</v>
      </c>
      <c r="F23" s="316">
        <v>0.78800000000000003</v>
      </c>
      <c r="G23" s="185">
        <f t="shared" si="2"/>
        <v>51973.439086294413</v>
      </c>
      <c r="H23" s="302">
        <f>2243+3284</f>
        <v>5527</v>
      </c>
      <c r="I23" s="344"/>
      <c r="J23" s="344"/>
      <c r="K23" s="186">
        <f t="shared" si="0"/>
        <v>40955.07</v>
      </c>
      <c r="L23" s="321" t="e">
        <f t="shared" si="1"/>
        <v>#REF!</v>
      </c>
      <c r="M23" s="451"/>
      <c r="N23" s="123" t="e">
        <f>IF(ISNA(MATCH(C23,#REF!,0)),"",INDEX(#REF!,MATCH(C23,#REF!,0)))</f>
        <v>#REF!</v>
      </c>
      <c r="O23" s="124" t="e">
        <f>SUMIF(#REF!,C23,#REF!)</f>
        <v>#REF!</v>
      </c>
      <c r="P23" s="124" t="s">
        <v>13</v>
      </c>
    </row>
    <row r="24" spans="1:16" s="7" customFormat="1" ht="52" x14ac:dyDescent="0.25">
      <c r="A24" s="38"/>
      <c r="B24" s="122"/>
      <c r="C24" s="181" t="s">
        <v>1231</v>
      </c>
      <c r="D24" s="188" t="s">
        <v>1701</v>
      </c>
      <c r="E24" s="183" t="s">
        <v>971</v>
      </c>
      <c r="F24" s="184">
        <v>2.4239999999999999</v>
      </c>
      <c r="G24" s="185">
        <f t="shared" si="2"/>
        <v>5465.7920792079212</v>
      </c>
      <c r="H24" s="302">
        <v>1788</v>
      </c>
      <c r="I24" s="344"/>
      <c r="J24" s="344"/>
      <c r="K24" s="186">
        <f t="shared" si="0"/>
        <v>13249.08</v>
      </c>
      <c r="L24" s="321" t="e">
        <f t="shared" si="1"/>
        <v>#REF!</v>
      </c>
      <c r="M24" s="451"/>
      <c r="N24" s="123" t="e">
        <f>IF(ISNA(MATCH(C24,#REF!,0)),"",INDEX(#REF!,MATCH(C24,#REF!,0)))</f>
        <v>#REF!</v>
      </c>
      <c r="O24" s="124" t="e">
        <f>SUMIF(#REF!,C24,#REF!)</f>
        <v>#REF!</v>
      </c>
      <c r="P24" s="124" t="s">
        <v>13</v>
      </c>
    </row>
    <row r="25" spans="1:16" s="7" customFormat="1" ht="52" x14ac:dyDescent="0.25">
      <c r="A25" s="38"/>
      <c r="B25" s="122"/>
      <c r="C25" s="181" t="s">
        <v>1232</v>
      </c>
      <c r="D25" s="188" t="s">
        <v>825</v>
      </c>
      <c r="E25" s="183" t="s">
        <v>969</v>
      </c>
      <c r="F25" s="184">
        <v>0.53200000000000003</v>
      </c>
      <c r="G25" s="185">
        <f t="shared" si="2"/>
        <v>89031.428571428551</v>
      </c>
      <c r="H25" s="302">
        <v>6392</v>
      </c>
      <c r="I25" s="344"/>
      <c r="J25" s="344"/>
      <c r="K25" s="186">
        <f t="shared" si="0"/>
        <v>47364.719999999994</v>
      </c>
      <c r="L25" s="321" t="e">
        <f t="shared" si="1"/>
        <v>#REF!</v>
      </c>
      <c r="M25" s="451"/>
      <c r="N25" s="123" t="e">
        <f>IF(ISNA(MATCH(C25,#REF!,0)),"",INDEX(#REF!,MATCH(C25,#REF!,0)))</f>
        <v>#REF!</v>
      </c>
      <c r="O25" s="124" t="e">
        <f>SUMIF(#REF!,C25,#REF!)</f>
        <v>#REF!</v>
      </c>
      <c r="P25" s="124" t="s">
        <v>13</v>
      </c>
    </row>
    <row r="26" spans="1:16" s="7" customFormat="1" ht="39" x14ac:dyDescent="0.25">
      <c r="A26" s="38"/>
      <c r="B26" s="122"/>
      <c r="C26" s="181" t="s">
        <v>1233</v>
      </c>
      <c r="D26" s="188" t="s">
        <v>827</v>
      </c>
      <c r="E26" s="189" t="s">
        <v>826</v>
      </c>
      <c r="F26" s="316">
        <v>3.2599999999999999E-3</v>
      </c>
      <c r="G26" s="185">
        <f t="shared" si="2"/>
        <v>734180.98159509199</v>
      </c>
      <c r="H26" s="302">
        <f>74+31+51+81+86</f>
        <v>323</v>
      </c>
      <c r="I26" s="344"/>
      <c r="J26" s="344"/>
      <c r="K26" s="186">
        <f t="shared" si="0"/>
        <v>2393.4299999999998</v>
      </c>
      <c r="L26" s="321" t="e">
        <f t="shared" si="1"/>
        <v>#REF!</v>
      </c>
      <c r="M26" s="451"/>
      <c r="N26" s="319" t="e">
        <f>IF(ISNA(MATCH(C26,#REF!,0)),"",INDEX(#REF!,MATCH(C26,#REF!,0)))</f>
        <v>#REF!</v>
      </c>
      <c r="O26" s="113" t="e">
        <f>SUMIF(#REF!,C26,#REF!)</f>
        <v>#REF!</v>
      </c>
      <c r="P26" s="113" t="s">
        <v>13</v>
      </c>
    </row>
    <row r="27" spans="1:16" s="7" customFormat="1" ht="39" x14ac:dyDescent="0.25">
      <c r="A27" s="38"/>
      <c r="B27" s="122"/>
      <c r="C27" s="181" t="s">
        <v>1234</v>
      </c>
      <c r="D27" s="188" t="s">
        <v>828</v>
      </c>
      <c r="E27" s="183" t="s">
        <v>969</v>
      </c>
      <c r="F27" s="316">
        <f>1.584+0.13</f>
        <v>1.714</v>
      </c>
      <c r="G27" s="185">
        <f t="shared" si="2"/>
        <v>123592.22870478412</v>
      </c>
      <c r="H27" s="302">
        <f>1528+6601+18897+1562</f>
        <v>28588</v>
      </c>
      <c r="I27" s="344"/>
      <c r="J27" s="344"/>
      <c r="K27" s="186">
        <f t="shared" si="0"/>
        <v>211837.08</v>
      </c>
      <c r="L27" s="321" t="e">
        <f t="shared" si="1"/>
        <v>#REF!</v>
      </c>
      <c r="M27" s="451"/>
      <c r="N27" s="123" t="e">
        <f>IF(ISNA(MATCH(C27,#REF!,0)),"",INDEX(#REF!,MATCH(C27,#REF!,0)))</f>
        <v>#REF!</v>
      </c>
      <c r="O27" s="124" t="e">
        <f>SUMIF(#REF!,C27,#REF!)</f>
        <v>#REF!</v>
      </c>
      <c r="P27" s="124" t="s">
        <v>13</v>
      </c>
    </row>
    <row r="28" spans="1:16" s="7" customFormat="1" ht="26" x14ac:dyDescent="0.25">
      <c r="A28" s="38"/>
      <c r="B28" s="122"/>
      <c r="C28" s="181" t="s">
        <v>1235</v>
      </c>
      <c r="D28" s="188" t="s">
        <v>829</v>
      </c>
      <c r="E28" s="183" t="s">
        <v>720</v>
      </c>
      <c r="F28" s="184">
        <v>78.677999999999997</v>
      </c>
      <c r="G28" s="185">
        <f t="shared" si="2"/>
        <v>236.67772439563791</v>
      </c>
      <c r="H28" s="302">
        <f>1857+230+427-1</f>
        <v>2513</v>
      </c>
      <c r="I28" s="344"/>
      <c r="J28" s="344"/>
      <c r="K28" s="186">
        <f t="shared" si="0"/>
        <v>18621.329999999998</v>
      </c>
      <c r="L28" s="321" t="e">
        <f t="shared" si="1"/>
        <v>#REF!</v>
      </c>
      <c r="M28" s="451"/>
      <c r="N28" s="123" t="e">
        <f>IF(ISNA(MATCH(C28,#REF!,0)),"",INDEX(#REF!,MATCH(C28,#REF!,0)))</f>
        <v>#REF!</v>
      </c>
      <c r="O28" s="124" t="e">
        <f>SUMIF(#REF!,C28,#REF!)</f>
        <v>#REF!</v>
      </c>
      <c r="P28" s="124" t="s">
        <v>13</v>
      </c>
    </row>
    <row r="29" spans="1:16" s="7" customFormat="1" ht="26" x14ac:dyDescent="0.25">
      <c r="A29" s="38"/>
      <c r="B29" s="122"/>
      <c r="C29" s="181" t="s">
        <v>1236</v>
      </c>
      <c r="D29" s="188" t="s">
        <v>832</v>
      </c>
      <c r="E29" s="183" t="s">
        <v>977</v>
      </c>
      <c r="F29" s="184">
        <v>0.78678000000000003</v>
      </c>
      <c r="G29" s="185">
        <f t="shared" si="2"/>
        <v>2872.5310760314187</v>
      </c>
      <c r="H29" s="302">
        <v>305</v>
      </c>
      <c r="I29" s="344"/>
      <c r="J29" s="344"/>
      <c r="K29" s="186">
        <f t="shared" si="0"/>
        <v>2260.0499999999997</v>
      </c>
      <c r="L29" s="321" t="e">
        <f t="shared" si="1"/>
        <v>#REF!</v>
      </c>
      <c r="M29" s="451"/>
      <c r="N29" s="123" t="e">
        <f>IF(ISNA(MATCH(C29,#REF!,0)),"",INDEX(#REF!,MATCH(C29,#REF!,0)))</f>
        <v>#REF!</v>
      </c>
      <c r="O29" s="124" t="e">
        <f>SUMIF(#REF!,C29,#REF!)</f>
        <v>#REF!</v>
      </c>
      <c r="P29" s="124" t="s">
        <v>13</v>
      </c>
    </row>
    <row r="30" spans="1:16" s="7" customFormat="1" ht="26" x14ac:dyDescent="0.25">
      <c r="A30" s="38"/>
      <c r="B30" s="122"/>
      <c r="C30" s="181" t="s">
        <v>1237</v>
      </c>
      <c r="D30" s="188" t="s">
        <v>833</v>
      </c>
      <c r="E30" s="183" t="s">
        <v>977</v>
      </c>
      <c r="F30" s="184">
        <v>0.78678000000000003</v>
      </c>
      <c r="G30" s="185">
        <f t="shared" si="2"/>
        <v>10501.220163196827</v>
      </c>
      <c r="H30" s="302">
        <v>1115</v>
      </c>
      <c r="I30" s="344"/>
      <c r="J30" s="344"/>
      <c r="K30" s="186">
        <f t="shared" si="0"/>
        <v>8262.15</v>
      </c>
      <c r="L30" s="321" t="e">
        <f t="shared" si="1"/>
        <v>#REF!</v>
      </c>
      <c r="M30" s="451"/>
      <c r="N30" s="123" t="e">
        <f>IF(ISNA(MATCH(C30,#REF!,0)),"",INDEX(#REF!,MATCH(C30,#REF!,0)))</f>
        <v>#REF!</v>
      </c>
      <c r="O30" s="124" t="e">
        <f>SUMIF(#REF!,C30,#REF!)</f>
        <v>#REF!</v>
      </c>
      <c r="P30" s="124" t="s">
        <v>13</v>
      </c>
    </row>
    <row r="31" spans="1:16" s="23" customFormat="1" x14ac:dyDescent="0.3">
      <c r="A31" s="51"/>
      <c r="B31" s="125" t="s">
        <v>956</v>
      </c>
      <c r="C31" s="286" t="s">
        <v>1178</v>
      </c>
      <c r="D31" s="598" t="s">
        <v>101</v>
      </c>
      <c r="E31" s="233"/>
      <c r="F31" s="234"/>
      <c r="G31" s="235"/>
      <c r="H31" s="301">
        <f>SUM(H32:H46)</f>
        <v>160599</v>
      </c>
      <c r="I31" s="301"/>
      <c r="J31" s="343"/>
      <c r="K31" s="236">
        <f>SUM(K32:K46)</f>
        <v>1190038.5900000001</v>
      </c>
      <c r="L31" s="236" t="e">
        <f>SUM(L32:L46)</f>
        <v>#REF!</v>
      </c>
      <c r="M31" s="449"/>
      <c r="N31" s="126" t="e">
        <f>IF(ISNA(MATCH(C31,#REF!,0)),"",INDEX(#REF!,MATCH(C31,#REF!,0)))</f>
        <v>#REF!</v>
      </c>
      <c r="O31" s="127" t="e">
        <f>SUMIF(#REF!,C31,#REF!)</f>
        <v>#REF!</v>
      </c>
      <c r="P31" s="127" t="s">
        <v>13</v>
      </c>
    </row>
    <row r="32" spans="1:16" s="7" customFormat="1" ht="39" x14ac:dyDescent="0.25">
      <c r="A32" s="38"/>
      <c r="B32" s="122"/>
      <c r="C32" s="181" t="s">
        <v>1238</v>
      </c>
      <c r="D32" s="58" t="s">
        <v>1725</v>
      </c>
      <c r="E32" s="190" t="s">
        <v>1176</v>
      </c>
      <c r="F32" s="316">
        <v>3.3</v>
      </c>
      <c r="G32" s="185">
        <f t="shared" ref="G32:G46" si="3">K32/F32</f>
        <v>23438.054545454546</v>
      </c>
      <c r="H32" s="187">
        <f>2289-4+7800+353</f>
        <v>10438</v>
      </c>
      <c r="I32" s="244"/>
      <c r="J32" s="244"/>
      <c r="K32" s="186">
        <f t="shared" ref="K32:K46" si="4">H32*$C$4*$C$5</f>
        <v>77345.58</v>
      </c>
      <c r="L32" s="321" t="e">
        <f t="shared" ref="L32:L46" si="5">IF(N32="поставка Заказчика",N32,K32)</f>
        <v>#REF!</v>
      </c>
      <c r="M32" s="451"/>
      <c r="N32" s="319" t="e">
        <f>IF(ISNA(MATCH(C32,#REF!,0)),"",INDEX(#REF!,MATCH(C32,#REF!,0)))</f>
        <v>#REF!</v>
      </c>
      <c r="O32" s="113" t="e">
        <f>SUMIF(#REF!,C32,#REF!)</f>
        <v>#REF!</v>
      </c>
      <c r="P32" s="113" t="s">
        <v>13</v>
      </c>
    </row>
    <row r="33" spans="1:16" s="7" customFormat="1" ht="39" x14ac:dyDescent="0.25">
      <c r="A33" s="38"/>
      <c r="B33" s="122"/>
      <c r="C33" s="181" t="s">
        <v>1239</v>
      </c>
      <c r="D33" s="182" t="s">
        <v>959</v>
      </c>
      <c r="E33" s="183" t="s">
        <v>970</v>
      </c>
      <c r="F33" s="184">
        <v>6</v>
      </c>
      <c r="G33" s="185">
        <f t="shared" si="3"/>
        <v>1097.915</v>
      </c>
      <c r="H33" s="191">
        <v>889</v>
      </c>
      <c r="I33" s="346"/>
      <c r="J33" s="346"/>
      <c r="K33" s="186">
        <f t="shared" si="4"/>
        <v>6587.49</v>
      </c>
      <c r="L33" s="321" t="e">
        <f t="shared" si="5"/>
        <v>#REF!</v>
      </c>
      <c r="M33" s="451"/>
      <c r="N33" s="123" t="e">
        <f>IF(ISNA(MATCH(C33,#REF!,0)),"",INDEX(#REF!,MATCH(C33,#REF!,0)))</f>
        <v>#REF!</v>
      </c>
      <c r="O33" s="124" t="e">
        <f>SUMIF(#REF!,C33,#REF!)</f>
        <v>#REF!</v>
      </c>
      <c r="P33" s="124" t="s">
        <v>13</v>
      </c>
    </row>
    <row r="34" spans="1:16" s="7" customFormat="1" ht="26" x14ac:dyDescent="0.25">
      <c r="A34" s="38"/>
      <c r="B34" s="122"/>
      <c r="C34" s="181" t="s">
        <v>1240</v>
      </c>
      <c r="D34" s="182" t="s">
        <v>960</v>
      </c>
      <c r="E34" s="183" t="s">
        <v>977</v>
      </c>
      <c r="F34" s="316">
        <v>0.432</v>
      </c>
      <c r="G34" s="185">
        <f t="shared" si="3"/>
        <v>3962.2916666666661</v>
      </c>
      <c r="H34" s="191">
        <f>109+109+13</f>
        <v>231</v>
      </c>
      <c r="I34" s="346"/>
      <c r="J34" s="346"/>
      <c r="K34" s="186">
        <f t="shared" si="4"/>
        <v>1711.7099999999998</v>
      </c>
      <c r="L34" s="321" t="e">
        <f t="shared" si="5"/>
        <v>#REF!</v>
      </c>
      <c r="M34" s="451"/>
      <c r="N34" s="123" t="e">
        <f>IF(ISNA(MATCH(C34,#REF!,0)),"",INDEX(#REF!,MATCH(C34,#REF!,0)))</f>
        <v>#REF!</v>
      </c>
      <c r="O34" s="124" t="e">
        <f>SUMIF(#REF!,C34,#REF!)</f>
        <v>#REF!</v>
      </c>
      <c r="P34" s="124" t="s">
        <v>13</v>
      </c>
    </row>
    <row r="35" spans="1:16" s="7" customFormat="1" ht="39" x14ac:dyDescent="0.25">
      <c r="A35" s="38"/>
      <c r="B35" s="122"/>
      <c r="C35" s="181" t="s">
        <v>1241</v>
      </c>
      <c r="D35" s="188" t="s">
        <v>961</v>
      </c>
      <c r="E35" s="183" t="s">
        <v>977</v>
      </c>
      <c r="F35" s="184">
        <v>0.216</v>
      </c>
      <c r="G35" s="185">
        <f t="shared" si="3"/>
        <v>2607.2222222222217</v>
      </c>
      <c r="H35" s="191">
        <f>38+38</f>
        <v>76</v>
      </c>
      <c r="I35" s="346"/>
      <c r="J35" s="346"/>
      <c r="K35" s="186">
        <f t="shared" si="4"/>
        <v>563.15999999999985</v>
      </c>
      <c r="L35" s="321" t="e">
        <f t="shared" si="5"/>
        <v>#REF!</v>
      </c>
      <c r="M35" s="451"/>
      <c r="N35" s="123" t="e">
        <f>IF(ISNA(MATCH(C35,#REF!,0)),"",INDEX(#REF!,MATCH(C35,#REF!,0)))</f>
        <v>#REF!</v>
      </c>
      <c r="O35" s="124" t="e">
        <f>SUMIF(#REF!,C35,#REF!)</f>
        <v>#REF!</v>
      </c>
      <c r="P35" s="124" t="s">
        <v>13</v>
      </c>
    </row>
    <row r="36" spans="1:16" s="7" customFormat="1" ht="26" x14ac:dyDescent="0.25">
      <c r="A36" s="38"/>
      <c r="B36" s="122"/>
      <c r="C36" s="181" t="s">
        <v>1242</v>
      </c>
      <c r="D36" s="188" t="s">
        <v>962</v>
      </c>
      <c r="E36" s="183" t="s">
        <v>969</v>
      </c>
      <c r="F36" s="316">
        <v>0.59199999999999997</v>
      </c>
      <c r="G36" s="185">
        <f t="shared" si="3"/>
        <v>51945.101351351354</v>
      </c>
      <c r="H36" s="191">
        <f>1683+2467</f>
        <v>4150</v>
      </c>
      <c r="I36" s="346"/>
      <c r="J36" s="346"/>
      <c r="K36" s="186">
        <f t="shared" si="4"/>
        <v>30751.5</v>
      </c>
      <c r="L36" s="321" t="e">
        <f t="shared" si="5"/>
        <v>#REF!</v>
      </c>
      <c r="M36" s="451"/>
      <c r="N36" s="123" t="e">
        <f>IF(ISNA(MATCH(C36,#REF!,0)),"",INDEX(#REF!,MATCH(C36,#REF!,0)))</f>
        <v>#REF!</v>
      </c>
      <c r="O36" s="124" t="e">
        <f>SUMIF(#REF!,C36,#REF!)</f>
        <v>#REF!</v>
      </c>
      <c r="P36" s="124" t="s">
        <v>13</v>
      </c>
    </row>
    <row r="37" spans="1:16" s="7" customFormat="1" ht="52" x14ac:dyDescent="0.25">
      <c r="A37" s="38"/>
      <c r="B37" s="122"/>
      <c r="C37" s="181" t="s">
        <v>1243</v>
      </c>
      <c r="D37" s="188" t="s">
        <v>1701</v>
      </c>
      <c r="E37" s="183" t="s">
        <v>971</v>
      </c>
      <c r="F37" s="184">
        <v>1.8180000000000001</v>
      </c>
      <c r="G37" s="185">
        <f t="shared" si="3"/>
        <v>5465.7920792079194</v>
      </c>
      <c r="H37" s="191">
        <v>1341</v>
      </c>
      <c r="I37" s="346"/>
      <c r="J37" s="346"/>
      <c r="K37" s="186">
        <f t="shared" si="4"/>
        <v>9936.8099999999977</v>
      </c>
      <c r="L37" s="321" t="e">
        <f t="shared" si="5"/>
        <v>#REF!</v>
      </c>
      <c r="M37" s="451"/>
      <c r="N37" s="123" t="e">
        <f>IF(ISNA(MATCH(C37,#REF!,0)),"",INDEX(#REF!,MATCH(C37,#REF!,0)))</f>
        <v>#REF!</v>
      </c>
      <c r="O37" s="124" t="e">
        <f>SUMIF(#REF!,C37,#REF!)</f>
        <v>#REF!</v>
      </c>
      <c r="P37" s="124" t="s">
        <v>13</v>
      </c>
    </row>
    <row r="38" spans="1:16" s="7" customFormat="1" ht="52" x14ac:dyDescent="0.25">
      <c r="A38" s="38"/>
      <c r="B38" s="122"/>
      <c r="C38" s="181" t="s">
        <v>1244</v>
      </c>
      <c r="D38" s="188" t="s">
        <v>825</v>
      </c>
      <c r="E38" s="183" t="s">
        <v>969</v>
      </c>
      <c r="F38" s="184">
        <v>0.39900000000000002</v>
      </c>
      <c r="G38" s="185">
        <f t="shared" si="3"/>
        <v>89031.428571428565</v>
      </c>
      <c r="H38" s="191">
        <v>4794</v>
      </c>
      <c r="I38" s="346"/>
      <c r="J38" s="346"/>
      <c r="K38" s="186">
        <f t="shared" si="4"/>
        <v>35523.54</v>
      </c>
      <c r="L38" s="321" t="e">
        <f t="shared" si="5"/>
        <v>#REF!</v>
      </c>
      <c r="M38" s="451"/>
      <c r="N38" s="123" t="e">
        <f>IF(ISNA(MATCH(C38,#REF!,0)),"",INDEX(#REF!,MATCH(C38,#REF!,0)))</f>
        <v>#REF!</v>
      </c>
      <c r="O38" s="124" t="e">
        <f>SUMIF(#REF!,C38,#REF!)</f>
        <v>#REF!</v>
      </c>
      <c r="P38" s="124" t="s">
        <v>13</v>
      </c>
    </row>
    <row r="39" spans="1:16" s="7" customFormat="1" ht="39" x14ac:dyDescent="0.25">
      <c r="A39" s="38"/>
      <c r="B39" s="122"/>
      <c r="C39" s="181" t="s">
        <v>1245</v>
      </c>
      <c r="D39" s="188" t="s">
        <v>1718</v>
      </c>
      <c r="E39" s="189" t="s">
        <v>826</v>
      </c>
      <c r="F39" s="316">
        <v>2.4499999999999999E-3</v>
      </c>
      <c r="G39" s="185">
        <f t="shared" si="3"/>
        <v>728902.04081632639</v>
      </c>
      <c r="H39" s="191">
        <f>56+23+38+60+64</f>
        <v>241</v>
      </c>
      <c r="I39" s="346"/>
      <c r="J39" s="346"/>
      <c r="K39" s="186">
        <f t="shared" si="4"/>
        <v>1785.8099999999997</v>
      </c>
      <c r="L39" s="321" t="e">
        <f t="shared" si="5"/>
        <v>#REF!</v>
      </c>
      <c r="M39" s="451"/>
      <c r="N39" s="319" t="e">
        <f>IF(ISNA(MATCH(C39,#REF!,0)),"",INDEX(#REF!,MATCH(C39,#REF!,0)))</f>
        <v>#REF!</v>
      </c>
      <c r="O39" s="113" t="e">
        <f>SUMIF(#REF!,C39,#REF!)</f>
        <v>#REF!</v>
      </c>
      <c r="P39" s="113" t="s">
        <v>13</v>
      </c>
    </row>
    <row r="40" spans="1:16" s="7" customFormat="1" ht="39" x14ac:dyDescent="0.25">
      <c r="A40" s="38"/>
      <c r="B40" s="122"/>
      <c r="C40" s="181" t="s">
        <v>1246</v>
      </c>
      <c r="D40" s="188" t="s">
        <v>834</v>
      </c>
      <c r="E40" s="183" t="s">
        <v>969</v>
      </c>
      <c r="F40" s="316">
        <f>2.167+0.167+2.237</f>
        <v>4.5709999999999997</v>
      </c>
      <c r="G40" s="185">
        <f t="shared" si="3"/>
        <v>99568.936775322683</v>
      </c>
      <c r="H40" s="191">
        <f>1470+8572+11693+2007+2144+8848+26496+191</f>
        <v>61421</v>
      </c>
      <c r="I40" s="346"/>
      <c r="J40" s="346"/>
      <c r="K40" s="186">
        <f t="shared" si="4"/>
        <v>455129.60999999993</v>
      </c>
      <c r="L40" s="321" t="e">
        <f t="shared" si="5"/>
        <v>#REF!</v>
      </c>
      <c r="M40" s="451"/>
      <c r="N40" s="123" t="e">
        <f>IF(ISNA(MATCH(C40,#REF!,0)),"",INDEX(#REF!,MATCH(C40,#REF!,0)))</f>
        <v>#REF!</v>
      </c>
      <c r="O40" s="124" t="e">
        <f>SUMIF(#REF!,C40,#REF!)</f>
        <v>#REF!</v>
      </c>
      <c r="P40" s="124" t="s">
        <v>13</v>
      </c>
    </row>
    <row r="41" spans="1:16" s="7" customFormat="1" ht="39" x14ac:dyDescent="0.25">
      <c r="A41" s="38"/>
      <c r="B41" s="122"/>
      <c r="C41" s="181" t="s">
        <v>1247</v>
      </c>
      <c r="D41" s="58" t="s">
        <v>835</v>
      </c>
      <c r="E41" s="183" t="s">
        <v>969</v>
      </c>
      <c r="F41" s="316">
        <v>0.72599999999999998</v>
      </c>
      <c r="G41" s="185">
        <f t="shared" si="3"/>
        <v>137125.82644628099</v>
      </c>
      <c r="H41" s="191">
        <f>1890+2872+7027+1646</f>
        <v>13435</v>
      </c>
      <c r="I41" s="346"/>
      <c r="J41" s="346"/>
      <c r="K41" s="186">
        <f t="shared" si="4"/>
        <v>99553.349999999991</v>
      </c>
      <c r="L41" s="321" t="e">
        <f t="shared" si="5"/>
        <v>#REF!</v>
      </c>
      <c r="M41" s="451"/>
      <c r="N41" s="123" t="e">
        <f>IF(ISNA(MATCH(C41,#REF!,0)),"",INDEX(#REF!,MATCH(C41,#REF!,0)))</f>
        <v>#REF!</v>
      </c>
      <c r="O41" s="124" t="e">
        <f>SUMIF(#REF!,C41,#REF!)</f>
        <v>#REF!</v>
      </c>
      <c r="P41" s="124" t="s">
        <v>13</v>
      </c>
    </row>
    <row r="42" spans="1:16" s="7" customFormat="1" ht="39" x14ac:dyDescent="0.25">
      <c r="A42" s="38"/>
      <c r="B42" s="122"/>
      <c r="C42" s="181" t="s">
        <v>1248</v>
      </c>
      <c r="D42" s="58" t="s">
        <v>836</v>
      </c>
      <c r="E42" s="183" t="s">
        <v>969</v>
      </c>
      <c r="F42" s="316">
        <f>1.2+0.028</f>
        <v>1.228</v>
      </c>
      <c r="G42" s="185">
        <f t="shared" si="3"/>
        <v>105495.95276872964</v>
      </c>
      <c r="H42" s="191">
        <f>1974+334+15175</f>
        <v>17483</v>
      </c>
      <c r="I42" s="346"/>
      <c r="J42" s="346"/>
      <c r="K42" s="186">
        <f t="shared" si="4"/>
        <v>129549.03</v>
      </c>
      <c r="L42" s="321" t="e">
        <f t="shared" si="5"/>
        <v>#REF!</v>
      </c>
      <c r="M42" s="451"/>
      <c r="N42" s="123" t="e">
        <f>IF(ISNA(MATCH(C42,#REF!,0)),"",INDEX(#REF!,MATCH(C42,#REF!,0)))</f>
        <v>#REF!</v>
      </c>
      <c r="O42" s="124" t="e">
        <f>SUMIF(#REF!,C42,#REF!)</f>
        <v>#REF!</v>
      </c>
      <c r="P42" s="124" t="s">
        <v>13</v>
      </c>
    </row>
    <row r="43" spans="1:16" s="7" customFormat="1" ht="26" x14ac:dyDescent="0.25">
      <c r="A43" s="38"/>
      <c r="B43" s="122"/>
      <c r="C43" s="181" t="s">
        <v>1249</v>
      </c>
      <c r="D43" s="58" t="s">
        <v>838</v>
      </c>
      <c r="E43" s="183" t="s">
        <v>969</v>
      </c>
      <c r="F43" s="316">
        <f>1.191+0.144</f>
        <v>1.335</v>
      </c>
      <c r="G43" s="185">
        <f t="shared" si="3"/>
        <v>167560.35955056178</v>
      </c>
      <c r="H43" s="191">
        <f>1934+22505+5749</f>
        <v>30188</v>
      </c>
      <c r="I43" s="346"/>
      <c r="J43" s="346"/>
      <c r="K43" s="186">
        <f t="shared" si="4"/>
        <v>223693.08</v>
      </c>
      <c r="L43" s="321" t="e">
        <f t="shared" si="5"/>
        <v>#REF!</v>
      </c>
      <c r="M43" s="451"/>
      <c r="N43" s="123" t="e">
        <f>IF(ISNA(MATCH(C43,#REF!,0)),"",INDEX(#REF!,MATCH(C43,#REF!,0)))</f>
        <v>#REF!</v>
      </c>
      <c r="O43" s="124" t="e">
        <f>SUMIF(#REF!,C43,#REF!)</f>
        <v>#REF!</v>
      </c>
      <c r="P43" s="124" t="s">
        <v>13</v>
      </c>
    </row>
    <row r="44" spans="1:16" s="7" customFormat="1" ht="26" x14ac:dyDescent="0.25">
      <c r="A44" s="38"/>
      <c r="B44" s="122"/>
      <c r="C44" s="181" t="s">
        <v>1250</v>
      </c>
      <c r="D44" s="188" t="s">
        <v>829</v>
      </c>
      <c r="E44" s="183" t="s">
        <v>977</v>
      </c>
      <c r="F44" s="316">
        <v>3.1819999999999999</v>
      </c>
      <c r="G44" s="185">
        <f t="shared" si="3"/>
        <v>23666.822752985543</v>
      </c>
      <c r="H44" s="191">
        <f>7511+928+1724</f>
        <v>10163</v>
      </c>
      <c r="I44" s="346"/>
      <c r="J44" s="346"/>
      <c r="K44" s="186">
        <f t="shared" si="4"/>
        <v>75307.83</v>
      </c>
      <c r="L44" s="321" t="e">
        <f t="shared" si="5"/>
        <v>#REF!</v>
      </c>
      <c r="M44" s="451"/>
      <c r="N44" s="123" t="e">
        <f>IF(ISNA(MATCH(C44,#REF!,0)),"",INDEX(#REF!,MATCH(C44,#REF!,0)))</f>
        <v>#REF!</v>
      </c>
      <c r="O44" s="124" t="e">
        <f>SUMIF(#REF!,C44,#REF!)</f>
        <v>#REF!</v>
      </c>
      <c r="P44" s="124" t="s">
        <v>13</v>
      </c>
    </row>
    <row r="45" spans="1:16" s="7" customFormat="1" ht="26" x14ac:dyDescent="0.25">
      <c r="A45" s="38"/>
      <c r="B45" s="122"/>
      <c r="C45" s="181" t="s">
        <v>1251</v>
      </c>
      <c r="D45" s="188" t="s">
        <v>832</v>
      </c>
      <c r="E45" s="183" t="s">
        <v>977</v>
      </c>
      <c r="F45" s="316">
        <v>3.1819999999999999</v>
      </c>
      <c r="G45" s="185">
        <f t="shared" si="3"/>
        <v>2878.3029541169076</v>
      </c>
      <c r="H45" s="191">
        <v>1236</v>
      </c>
      <c r="I45" s="346"/>
      <c r="J45" s="346"/>
      <c r="K45" s="186">
        <f t="shared" si="4"/>
        <v>9158.76</v>
      </c>
      <c r="L45" s="321" t="e">
        <f t="shared" si="5"/>
        <v>#REF!</v>
      </c>
      <c r="M45" s="451"/>
      <c r="N45" s="123" t="e">
        <f>IF(ISNA(MATCH(C45,#REF!,0)),"",INDEX(#REF!,MATCH(C45,#REF!,0)))</f>
        <v>#REF!</v>
      </c>
      <c r="O45" s="124" t="e">
        <f>SUMIF(#REF!,C45,#REF!)</f>
        <v>#REF!</v>
      </c>
      <c r="P45" s="124" t="s">
        <v>13</v>
      </c>
    </row>
    <row r="46" spans="1:16" s="7" customFormat="1" ht="26" x14ac:dyDescent="0.25">
      <c r="A46" s="38"/>
      <c r="B46" s="122"/>
      <c r="C46" s="181" t="s">
        <v>1252</v>
      </c>
      <c r="D46" s="188" t="s">
        <v>833</v>
      </c>
      <c r="E46" s="183" t="s">
        <v>977</v>
      </c>
      <c r="F46" s="184">
        <v>0.78678000000000003</v>
      </c>
      <c r="G46" s="185">
        <f t="shared" si="3"/>
        <v>42504.041790589494</v>
      </c>
      <c r="H46" s="191">
        <v>4513</v>
      </c>
      <c r="I46" s="346"/>
      <c r="J46" s="346"/>
      <c r="K46" s="186">
        <f t="shared" si="4"/>
        <v>33441.33</v>
      </c>
      <c r="L46" s="321" t="e">
        <f t="shared" si="5"/>
        <v>#REF!</v>
      </c>
      <c r="M46" s="451"/>
      <c r="N46" s="123" t="e">
        <f>IF(ISNA(MATCH(C46,#REF!,0)),"",INDEX(#REF!,MATCH(C46,#REF!,0)))</f>
        <v>#REF!</v>
      </c>
      <c r="O46" s="124" t="e">
        <f>SUMIF(#REF!,C46,#REF!)</f>
        <v>#REF!</v>
      </c>
      <c r="P46" s="124" t="s">
        <v>13</v>
      </c>
    </row>
    <row r="47" spans="1:16" s="23" customFormat="1" x14ac:dyDescent="0.3">
      <c r="A47" s="51"/>
      <c r="B47" s="125" t="s">
        <v>956</v>
      </c>
      <c r="C47" s="286" t="s">
        <v>1077</v>
      </c>
      <c r="D47" s="598" t="s">
        <v>103</v>
      </c>
      <c r="E47" s="233"/>
      <c r="F47" s="234"/>
      <c r="G47" s="235"/>
      <c r="H47" s="301">
        <f>SUM(H48:H52)</f>
        <v>41383</v>
      </c>
      <c r="I47" s="301"/>
      <c r="J47" s="343"/>
      <c r="K47" s="236">
        <f>SUM(K48:K52)</f>
        <v>306648.02999999997</v>
      </c>
      <c r="L47" s="236" t="e">
        <f>SUM(L48:L52)</f>
        <v>#REF!</v>
      </c>
      <c r="M47" s="449"/>
      <c r="N47" s="126" t="e">
        <f>IF(ISNA(MATCH(C47,#REF!,0)),"",INDEX(#REF!,MATCH(C47,#REF!,0)))</f>
        <v>#REF!</v>
      </c>
      <c r="O47" s="127" t="e">
        <f>SUMIF(#REF!,C47,#REF!)</f>
        <v>#REF!</v>
      </c>
      <c r="P47" s="127" t="s">
        <v>13</v>
      </c>
    </row>
    <row r="48" spans="1:16" s="7" customFormat="1" ht="39" x14ac:dyDescent="0.25">
      <c r="A48" s="38"/>
      <c r="B48" s="122"/>
      <c r="C48" s="181" t="s">
        <v>1253</v>
      </c>
      <c r="D48" s="182" t="s">
        <v>839</v>
      </c>
      <c r="E48" s="189" t="s">
        <v>840</v>
      </c>
      <c r="F48" s="316">
        <v>3.2941999999999999E-2</v>
      </c>
      <c r="G48" s="185">
        <f t="shared" ref="G48:G53" si="6">K48/F48</f>
        <v>367553.27545382793</v>
      </c>
      <c r="H48" s="191">
        <f>59+1575</f>
        <v>1634</v>
      </c>
      <c r="I48" s="346"/>
      <c r="J48" s="346"/>
      <c r="K48" s="186">
        <f t="shared" ref="K48:K53" si="7">H48*$C$4*$C$5</f>
        <v>12107.939999999999</v>
      </c>
      <c r="L48" s="321" t="e">
        <f t="shared" ref="L48:L53" si="8">IF(N48="поставка Заказчика",N48,K48)</f>
        <v>#REF!</v>
      </c>
      <c r="M48" s="451"/>
      <c r="N48" s="319" t="e">
        <f>IF(ISNA(MATCH(C48,#REF!,0)),"",INDEX(#REF!,MATCH(C48,#REF!,0)))</f>
        <v>#REF!</v>
      </c>
      <c r="O48" s="113" t="e">
        <f>SUMIF(#REF!,C48,#REF!)</f>
        <v>#REF!</v>
      </c>
      <c r="P48" s="113" t="s">
        <v>13</v>
      </c>
    </row>
    <row r="49" spans="1:16" s="7" customFormat="1" ht="26" x14ac:dyDescent="0.25">
      <c r="A49" s="38"/>
      <c r="B49" s="122"/>
      <c r="C49" s="181" t="s">
        <v>1254</v>
      </c>
      <c r="D49" s="182" t="s">
        <v>841</v>
      </c>
      <c r="E49" s="183" t="s">
        <v>1176</v>
      </c>
      <c r="F49" s="184">
        <v>8.6</v>
      </c>
      <c r="G49" s="185">
        <f t="shared" si="6"/>
        <v>10201.674418604651</v>
      </c>
      <c r="H49" s="302">
        <f>5392+831+1457+2166+1994</f>
        <v>11840</v>
      </c>
      <c r="I49" s="344"/>
      <c r="J49" s="344"/>
      <c r="K49" s="186">
        <f t="shared" si="7"/>
        <v>87734.399999999994</v>
      </c>
      <c r="L49" s="321" t="e">
        <f t="shared" si="8"/>
        <v>#REF!</v>
      </c>
      <c r="M49" s="451"/>
      <c r="N49" s="123" t="e">
        <f>IF(ISNA(MATCH(C49,#REF!,0)),"",INDEX(#REF!,MATCH(C49,#REF!,0)))</f>
        <v>#REF!</v>
      </c>
      <c r="O49" s="124" t="e">
        <f>SUMIF(#REF!,C49,#REF!)</f>
        <v>#REF!</v>
      </c>
      <c r="P49" s="124" t="s">
        <v>13</v>
      </c>
    </row>
    <row r="50" spans="1:16" s="7" customFormat="1" ht="39" x14ac:dyDescent="0.25">
      <c r="A50" s="38"/>
      <c r="B50" s="122"/>
      <c r="C50" s="181" t="s">
        <v>1255</v>
      </c>
      <c r="D50" s="58" t="s">
        <v>842</v>
      </c>
      <c r="E50" s="190" t="s">
        <v>720</v>
      </c>
      <c r="F50" s="316">
        <v>94.781000000000006</v>
      </c>
      <c r="G50" s="185">
        <f t="shared" si="6"/>
        <v>411.9316107658708</v>
      </c>
      <c r="H50" s="302">
        <f>2689-835+1028+2196+1028-835-2</f>
        <v>5269</v>
      </c>
      <c r="I50" s="344"/>
      <c r="J50" s="344"/>
      <c r="K50" s="186">
        <f t="shared" si="7"/>
        <v>39043.29</v>
      </c>
      <c r="L50" s="321" t="e">
        <f t="shared" si="8"/>
        <v>#REF!</v>
      </c>
      <c r="M50" s="451"/>
      <c r="N50" s="319" t="e">
        <f>IF(ISNA(MATCH(C50,#REF!,0)),"",INDEX(#REF!,MATCH(C50,#REF!,0)))</f>
        <v>#REF!</v>
      </c>
      <c r="O50" s="113" t="e">
        <f>SUMIF(#REF!,C50,#REF!)</f>
        <v>#REF!</v>
      </c>
      <c r="P50" s="113" t="s">
        <v>13</v>
      </c>
    </row>
    <row r="51" spans="1:16" s="7" customFormat="1" ht="39" x14ac:dyDescent="0.25">
      <c r="A51" s="38"/>
      <c r="B51" s="122"/>
      <c r="C51" s="181" t="s">
        <v>1256</v>
      </c>
      <c r="D51" s="192" t="s">
        <v>843</v>
      </c>
      <c r="E51" s="193" t="s">
        <v>826</v>
      </c>
      <c r="F51" s="184">
        <v>0.13361999999999999</v>
      </c>
      <c r="G51" s="185">
        <f t="shared" si="6"/>
        <v>1185699.8203861695</v>
      </c>
      <c r="H51" s="302">
        <f>4002+1265+2220+3299+3038+3313+777+2605+862</f>
        <v>21381</v>
      </c>
      <c r="I51" s="344"/>
      <c r="J51" s="344"/>
      <c r="K51" s="186">
        <f t="shared" si="7"/>
        <v>158433.20999999996</v>
      </c>
      <c r="L51" s="321" t="e">
        <f t="shared" si="8"/>
        <v>#REF!</v>
      </c>
      <c r="M51" s="451"/>
      <c r="N51" s="123" t="e">
        <f>IF(ISNA(MATCH(C51,#REF!,0)),"",INDEX(#REF!,MATCH(C51,#REF!,0)))</f>
        <v>#REF!</v>
      </c>
      <c r="O51" s="124" t="e">
        <f>SUMIF(#REF!,C51,#REF!)</f>
        <v>#REF!</v>
      </c>
      <c r="P51" s="124" t="s">
        <v>13</v>
      </c>
    </row>
    <row r="52" spans="1:16" s="7" customFormat="1" ht="39" x14ac:dyDescent="0.25">
      <c r="A52" s="38"/>
      <c r="B52" s="122"/>
      <c r="C52" s="181" t="s">
        <v>1257</v>
      </c>
      <c r="D52" s="192" t="s">
        <v>1765</v>
      </c>
      <c r="E52" s="193" t="s">
        <v>826</v>
      </c>
      <c r="F52" s="316">
        <v>1.5299999999999999E-2</v>
      </c>
      <c r="G52" s="185">
        <f t="shared" si="6"/>
        <v>609750.98039215675</v>
      </c>
      <c r="H52" s="302">
        <f>134+1125</f>
        <v>1259</v>
      </c>
      <c r="I52" s="344"/>
      <c r="J52" s="344"/>
      <c r="K52" s="186">
        <f t="shared" si="7"/>
        <v>9329.1899999999987</v>
      </c>
      <c r="L52" s="321" t="e">
        <f t="shared" si="8"/>
        <v>#REF!</v>
      </c>
      <c r="M52" s="451"/>
      <c r="N52" s="123" t="e">
        <f>IF(ISNA(MATCH(C52,#REF!,0)),"",INDEX(#REF!,MATCH(C52,#REF!,0)))</f>
        <v>#REF!</v>
      </c>
      <c r="O52" s="124" t="e">
        <f>SUMIF(#REF!,C52,#REF!)</f>
        <v>#REF!</v>
      </c>
      <c r="P52" s="124" t="s">
        <v>13</v>
      </c>
    </row>
    <row r="53" spans="1:16" s="61" customFormat="1" ht="26" x14ac:dyDescent="0.3">
      <c r="A53" s="51"/>
      <c r="B53" s="128" t="s">
        <v>1721</v>
      </c>
      <c r="C53" s="194" t="s">
        <v>1258</v>
      </c>
      <c r="D53" s="60" t="s">
        <v>1719</v>
      </c>
      <c r="E53" s="195" t="s">
        <v>970</v>
      </c>
      <c r="F53" s="196">
        <v>2</v>
      </c>
      <c r="G53" s="197">
        <f t="shared" si="6"/>
        <v>55949.205000000002</v>
      </c>
      <c r="H53" s="300">
        <v>15101</v>
      </c>
      <c r="I53" s="300"/>
      <c r="J53" s="342"/>
      <c r="K53" s="198">
        <f t="shared" si="7"/>
        <v>111898.41</v>
      </c>
      <c r="L53" s="119" t="e">
        <f t="shared" si="8"/>
        <v>#REF!</v>
      </c>
      <c r="M53" s="449" t="s">
        <v>1164</v>
      </c>
      <c r="N53" s="129" t="e">
        <f>IF(ISNA(MATCH(C53,#REF!,0)),"",INDEX(#REF!,MATCH(C53,#REF!,0)))</f>
        <v>#REF!</v>
      </c>
      <c r="O53" s="130" t="e">
        <f>SUMIF(#REF!,C53,#REF!)</f>
        <v>#REF!</v>
      </c>
      <c r="P53" s="130" t="s">
        <v>14</v>
      </c>
    </row>
    <row r="54" spans="1:16" s="23" customFormat="1" ht="26" x14ac:dyDescent="0.3">
      <c r="A54" s="51"/>
      <c r="B54" s="128" t="s">
        <v>1722</v>
      </c>
      <c r="C54" s="194" t="s">
        <v>1259</v>
      </c>
      <c r="D54" s="60" t="s">
        <v>1720</v>
      </c>
      <c r="E54" s="195"/>
      <c r="F54" s="196"/>
      <c r="G54" s="197"/>
      <c r="H54" s="304">
        <f>SUM(H55:H68)</f>
        <v>70814</v>
      </c>
      <c r="I54" s="304"/>
      <c r="J54" s="347"/>
      <c r="K54" s="198">
        <f>SUM(K55:K68)</f>
        <v>524731.73999999987</v>
      </c>
      <c r="L54" s="198" t="e">
        <f>SUM(L55:L68)</f>
        <v>#REF!</v>
      </c>
      <c r="M54" s="450" t="s">
        <v>1164</v>
      </c>
      <c r="N54" s="129" t="e">
        <f>IF(ISNA(MATCH(C54,#REF!,0)),"",INDEX(#REF!,MATCH(C54,#REF!,0)))</f>
        <v>#REF!</v>
      </c>
      <c r="O54" s="130" t="e">
        <f>SUMIF(#REF!,C54,#REF!)</f>
        <v>#REF!</v>
      </c>
      <c r="P54" s="130" t="s">
        <v>15</v>
      </c>
    </row>
    <row r="55" spans="1:16" s="23" customFormat="1" ht="39" x14ac:dyDescent="0.3">
      <c r="A55" s="51"/>
      <c r="B55" s="199"/>
      <c r="C55" s="181" t="s">
        <v>949</v>
      </c>
      <c r="D55" s="58" t="s">
        <v>1723</v>
      </c>
      <c r="E55" s="200" t="s">
        <v>1176</v>
      </c>
      <c r="F55" s="316">
        <v>8.8480000000000008</v>
      </c>
      <c r="G55" s="185">
        <f t="shared" ref="G55:G69" si="9">K55/F55</f>
        <v>22970.330018083179</v>
      </c>
      <c r="H55" s="305">
        <f>6369+20706+353</f>
        <v>27428</v>
      </c>
      <c r="I55" s="348"/>
      <c r="J55" s="348"/>
      <c r="K55" s="186">
        <f t="shared" ref="K55:K69" si="10">H55*$C$4*$C$5</f>
        <v>203241.47999999998</v>
      </c>
      <c r="L55" s="321" t="e">
        <f t="shared" ref="L55:L69" si="11">IF(N55="поставка Заказчика",N55,K55)</f>
        <v>#REF!</v>
      </c>
      <c r="M55" s="450"/>
      <c r="N55" s="131" t="e">
        <f>IF(ISNA(MATCH(C55,#REF!,0)),"",INDEX(#REF!,MATCH(C55,#REF!,0)))</f>
        <v>#REF!</v>
      </c>
      <c r="O55" s="114" t="e">
        <f>SUMIF(#REF!,C55,#REF!)</f>
        <v>#REF!</v>
      </c>
      <c r="P55" s="114" t="s">
        <v>15</v>
      </c>
    </row>
    <row r="56" spans="1:16" s="23" customFormat="1" ht="39" x14ac:dyDescent="0.3">
      <c r="A56" s="51"/>
      <c r="B56" s="199"/>
      <c r="C56" s="201" t="s">
        <v>950</v>
      </c>
      <c r="D56" s="58" t="s">
        <v>959</v>
      </c>
      <c r="E56" s="200" t="s">
        <v>970</v>
      </c>
      <c r="F56" s="202">
        <v>12</v>
      </c>
      <c r="G56" s="185">
        <f t="shared" si="9"/>
        <v>1097.915</v>
      </c>
      <c r="H56" s="305">
        <v>1778</v>
      </c>
      <c r="I56" s="348"/>
      <c r="J56" s="348"/>
      <c r="K56" s="186">
        <f t="shared" si="10"/>
        <v>13174.98</v>
      </c>
      <c r="L56" s="321" t="e">
        <f t="shared" si="11"/>
        <v>#REF!</v>
      </c>
      <c r="M56" s="450"/>
      <c r="N56" s="131" t="e">
        <f>IF(ISNA(MATCH(C56,#REF!,0)),"",INDEX(#REF!,MATCH(C56,#REF!,0)))</f>
        <v>#REF!</v>
      </c>
      <c r="O56" s="114" t="e">
        <f>SUMIF(#REF!,C56,#REF!)</f>
        <v>#REF!</v>
      </c>
      <c r="P56" s="114" t="s">
        <v>15</v>
      </c>
    </row>
    <row r="57" spans="1:16" s="23" customFormat="1" ht="26" x14ac:dyDescent="0.3">
      <c r="A57" s="51"/>
      <c r="B57" s="199"/>
      <c r="C57" s="201" t="s">
        <v>951</v>
      </c>
      <c r="D57" s="58" t="s">
        <v>1726</v>
      </c>
      <c r="E57" s="200" t="s">
        <v>977</v>
      </c>
      <c r="F57" s="316">
        <v>1.1519999999999999</v>
      </c>
      <c r="G57" s="185">
        <f t="shared" si="9"/>
        <v>3936.5625000000005</v>
      </c>
      <c r="H57" s="305">
        <f>289+289+34</f>
        <v>612</v>
      </c>
      <c r="I57" s="348"/>
      <c r="J57" s="348"/>
      <c r="K57" s="186">
        <f t="shared" si="10"/>
        <v>4534.92</v>
      </c>
      <c r="L57" s="321" t="e">
        <f t="shared" si="11"/>
        <v>#REF!</v>
      </c>
      <c r="M57" s="450"/>
      <c r="N57" s="131" t="e">
        <f>IF(ISNA(MATCH(C57,#REF!,0)),"",INDEX(#REF!,MATCH(C57,#REF!,0)))</f>
        <v>#REF!</v>
      </c>
      <c r="O57" s="114" t="e">
        <f>SUMIF(#REF!,C57,#REF!)</f>
        <v>#REF!</v>
      </c>
      <c r="P57" s="114" t="s">
        <v>15</v>
      </c>
    </row>
    <row r="58" spans="1:16" s="23" customFormat="1" ht="39" x14ac:dyDescent="0.3">
      <c r="A58" s="51"/>
      <c r="B58" s="199"/>
      <c r="C58" s="201" t="s">
        <v>952</v>
      </c>
      <c r="D58" s="188" t="s">
        <v>961</v>
      </c>
      <c r="E58" s="183" t="s">
        <v>977</v>
      </c>
      <c r="F58" s="202">
        <v>0.432</v>
      </c>
      <c r="G58" s="185">
        <f t="shared" si="9"/>
        <v>2933.125</v>
      </c>
      <c r="H58" s="305">
        <f>76+95</f>
        <v>171</v>
      </c>
      <c r="I58" s="348"/>
      <c r="J58" s="348"/>
      <c r="K58" s="186">
        <f t="shared" si="10"/>
        <v>1267.1099999999999</v>
      </c>
      <c r="L58" s="321" t="e">
        <f t="shared" si="11"/>
        <v>#REF!</v>
      </c>
      <c r="M58" s="450"/>
      <c r="N58" s="123" t="e">
        <f>IF(ISNA(MATCH(C58,#REF!,0)),"",INDEX(#REF!,MATCH(C58,#REF!,0)))</f>
        <v>#REF!</v>
      </c>
      <c r="O58" s="124" t="e">
        <f>SUMIF(#REF!,C58,#REF!)</f>
        <v>#REF!</v>
      </c>
      <c r="P58" s="124" t="s">
        <v>15</v>
      </c>
    </row>
    <row r="59" spans="1:16" s="23" customFormat="1" ht="26" x14ac:dyDescent="0.3">
      <c r="A59" s="51"/>
      <c r="B59" s="199"/>
      <c r="C59" s="201" t="s">
        <v>953</v>
      </c>
      <c r="D59" s="188" t="s">
        <v>962</v>
      </c>
      <c r="E59" s="183" t="s">
        <v>969</v>
      </c>
      <c r="F59" s="202">
        <v>1.1830000000000001</v>
      </c>
      <c r="G59" s="185">
        <f t="shared" si="9"/>
        <v>51976.483516483509</v>
      </c>
      <c r="H59" s="305">
        <f>3368+4930</f>
        <v>8298</v>
      </c>
      <c r="I59" s="348"/>
      <c r="J59" s="348"/>
      <c r="K59" s="186">
        <f t="shared" si="10"/>
        <v>61488.179999999993</v>
      </c>
      <c r="L59" s="321" t="e">
        <f t="shared" si="11"/>
        <v>#REF!</v>
      </c>
      <c r="M59" s="450"/>
      <c r="N59" s="123" t="e">
        <f>IF(ISNA(MATCH(C59,#REF!,0)),"",INDEX(#REF!,MATCH(C59,#REF!,0)))</f>
        <v>#REF!</v>
      </c>
      <c r="O59" s="124" t="e">
        <f>SUMIF(#REF!,C59,#REF!)</f>
        <v>#REF!</v>
      </c>
      <c r="P59" s="124" t="s">
        <v>15</v>
      </c>
    </row>
    <row r="60" spans="1:16" s="23" customFormat="1" ht="52" x14ac:dyDescent="0.3">
      <c r="A60" s="51"/>
      <c r="B60" s="199"/>
      <c r="C60" s="201" t="s">
        <v>1175</v>
      </c>
      <c r="D60" s="188" t="s">
        <v>1701</v>
      </c>
      <c r="E60" s="183" t="s">
        <v>971</v>
      </c>
      <c r="F60" s="316">
        <v>3.6360000000000001</v>
      </c>
      <c r="G60" s="185">
        <f t="shared" si="9"/>
        <v>5465.7920792079194</v>
      </c>
      <c r="H60" s="305">
        <v>2682</v>
      </c>
      <c r="I60" s="348"/>
      <c r="J60" s="348"/>
      <c r="K60" s="186">
        <f t="shared" si="10"/>
        <v>19873.619999999995</v>
      </c>
      <c r="L60" s="321" t="e">
        <f t="shared" si="11"/>
        <v>#REF!</v>
      </c>
      <c r="M60" s="450"/>
      <c r="N60" s="123" t="e">
        <f>IF(ISNA(MATCH(C60,#REF!,0)),"",INDEX(#REF!,MATCH(C60,#REF!,0)))</f>
        <v>#REF!</v>
      </c>
      <c r="O60" s="124" t="e">
        <f>SUMIF(#REF!,C60,#REF!)</f>
        <v>#REF!</v>
      </c>
      <c r="P60" s="124" t="s">
        <v>15</v>
      </c>
    </row>
    <row r="61" spans="1:16" s="23" customFormat="1" ht="52" x14ac:dyDescent="0.3">
      <c r="A61" s="51"/>
      <c r="B61" s="199"/>
      <c r="C61" s="201" t="s">
        <v>1260</v>
      </c>
      <c r="D61" s="188" t="s">
        <v>825</v>
      </c>
      <c r="E61" s="183" t="s">
        <v>969</v>
      </c>
      <c r="F61" s="202">
        <v>0.79700000000000004</v>
      </c>
      <c r="G61" s="185">
        <f t="shared" si="9"/>
        <v>89031.568381430363</v>
      </c>
      <c r="H61" s="305">
        <v>9576</v>
      </c>
      <c r="I61" s="348"/>
      <c r="J61" s="348"/>
      <c r="K61" s="186">
        <f t="shared" si="10"/>
        <v>70958.16</v>
      </c>
      <c r="L61" s="321" t="e">
        <f t="shared" si="11"/>
        <v>#REF!</v>
      </c>
      <c r="M61" s="450"/>
      <c r="N61" s="123" t="e">
        <f>IF(ISNA(MATCH(C61,#REF!,0)),"",INDEX(#REF!,MATCH(C61,#REF!,0)))</f>
        <v>#REF!</v>
      </c>
      <c r="O61" s="124" t="e">
        <f>SUMIF(#REF!,C61,#REF!)</f>
        <v>#REF!</v>
      </c>
      <c r="P61" s="124" t="s">
        <v>15</v>
      </c>
    </row>
    <row r="62" spans="1:16" s="23" customFormat="1" ht="39" x14ac:dyDescent="0.3">
      <c r="A62" s="51"/>
      <c r="B62" s="199"/>
      <c r="C62" s="201" t="s">
        <v>1261</v>
      </c>
      <c r="D62" s="188" t="s">
        <v>1735</v>
      </c>
      <c r="E62" s="189" t="s">
        <v>826</v>
      </c>
      <c r="F62" s="316">
        <v>4.7999999999999996E-3</v>
      </c>
      <c r="G62" s="185">
        <f t="shared" si="9"/>
        <v>748718.75</v>
      </c>
      <c r="H62" s="305">
        <f>111+46+77+121+130</f>
        <v>485</v>
      </c>
      <c r="I62" s="348"/>
      <c r="J62" s="348"/>
      <c r="K62" s="186">
        <f t="shared" si="10"/>
        <v>3593.85</v>
      </c>
      <c r="L62" s="321" t="e">
        <f t="shared" si="11"/>
        <v>#REF!</v>
      </c>
      <c r="M62" s="450"/>
      <c r="N62" s="319" t="e">
        <f>IF(ISNA(MATCH(C62,#REF!,0)),"",INDEX(#REF!,MATCH(C62,#REF!,0)))</f>
        <v>#REF!</v>
      </c>
      <c r="O62" s="113" t="e">
        <f>SUMIF(#REF!,C62,#REF!)</f>
        <v>#REF!</v>
      </c>
      <c r="P62" s="113" t="s">
        <v>15</v>
      </c>
    </row>
    <row r="63" spans="1:16" s="23" customFormat="1" ht="52" x14ac:dyDescent="0.3">
      <c r="A63" s="51"/>
      <c r="B63" s="199"/>
      <c r="C63" s="201" t="s">
        <v>1262</v>
      </c>
      <c r="D63" s="188" t="s">
        <v>1727</v>
      </c>
      <c r="E63" s="183" t="s">
        <v>969</v>
      </c>
      <c r="F63" s="316">
        <v>0.81699999999999995</v>
      </c>
      <c r="G63" s="185">
        <f t="shared" si="9"/>
        <v>126432.55813953489</v>
      </c>
      <c r="H63" s="305">
        <f>788+3404+9747+1</f>
        <v>13940</v>
      </c>
      <c r="I63" s="348"/>
      <c r="J63" s="348"/>
      <c r="K63" s="186">
        <f t="shared" si="10"/>
        <v>103295.4</v>
      </c>
      <c r="L63" s="321" t="e">
        <f t="shared" si="11"/>
        <v>#REF!</v>
      </c>
      <c r="M63" s="450"/>
      <c r="N63" s="123" t="e">
        <f>IF(ISNA(MATCH(C63,#REF!,0)),"",INDEX(#REF!,MATCH(C63,#REF!,0)))</f>
        <v>#REF!</v>
      </c>
      <c r="O63" s="124" t="e">
        <f>SUMIF(#REF!,C63,#REF!)</f>
        <v>#REF!</v>
      </c>
      <c r="P63" s="124" t="s">
        <v>15</v>
      </c>
    </row>
    <row r="64" spans="1:16" s="23" customFormat="1" ht="26" x14ac:dyDescent="0.3">
      <c r="A64" s="51"/>
      <c r="B64" s="199"/>
      <c r="C64" s="201" t="s">
        <v>1263</v>
      </c>
      <c r="D64" s="58" t="s">
        <v>1728</v>
      </c>
      <c r="E64" s="190" t="s">
        <v>977</v>
      </c>
      <c r="F64" s="316">
        <v>2.6599999999999999E-2</v>
      </c>
      <c r="G64" s="185">
        <f t="shared" si="9"/>
        <v>43178.571428571428</v>
      </c>
      <c r="H64" s="305">
        <v>155</v>
      </c>
      <c r="I64" s="348"/>
      <c r="J64" s="348"/>
      <c r="K64" s="186">
        <f t="shared" si="10"/>
        <v>1148.55</v>
      </c>
      <c r="L64" s="321" t="e">
        <f t="shared" si="11"/>
        <v>#REF!</v>
      </c>
      <c r="M64" s="450"/>
      <c r="N64" s="319" t="e">
        <f>IF(ISNA(MATCH(C64,#REF!,0)),"",INDEX(#REF!,MATCH(C64,#REF!,0)))</f>
        <v>#REF!</v>
      </c>
      <c r="O64" s="113" t="e">
        <f>SUMIF(#REF!,C64,#REF!)</f>
        <v>#REF!</v>
      </c>
      <c r="P64" s="113" t="s">
        <v>15</v>
      </c>
    </row>
    <row r="65" spans="1:16" s="23" customFormat="1" ht="26" x14ac:dyDescent="0.3">
      <c r="A65" s="51"/>
      <c r="B65" s="199"/>
      <c r="C65" s="201" t="s">
        <v>1264</v>
      </c>
      <c r="D65" s="599" t="s">
        <v>1729</v>
      </c>
      <c r="E65" s="183" t="s">
        <v>969</v>
      </c>
      <c r="F65" s="316">
        <v>0.121</v>
      </c>
      <c r="G65" s="185">
        <f t="shared" si="9"/>
        <v>160447.9338842975</v>
      </c>
      <c r="H65" s="305">
        <f>234+1155+241+990</f>
        <v>2620</v>
      </c>
      <c r="I65" s="348"/>
      <c r="J65" s="348"/>
      <c r="K65" s="186">
        <f t="shared" si="10"/>
        <v>19414.199999999997</v>
      </c>
      <c r="L65" s="321" t="e">
        <f t="shared" si="11"/>
        <v>#REF!</v>
      </c>
      <c r="M65" s="450"/>
      <c r="N65" s="123" t="e">
        <f>IF(ISNA(MATCH(C65,#REF!,0)),"",INDEX(#REF!,MATCH(C65,#REF!,0)))</f>
        <v>#REF!</v>
      </c>
      <c r="O65" s="124" t="e">
        <f>SUMIF(#REF!,C65,#REF!)</f>
        <v>#REF!</v>
      </c>
      <c r="P65" s="124" t="s">
        <v>15</v>
      </c>
    </row>
    <row r="66" spans="1:16" s="23" customFormat="1" ht="26" x14ac:dyDescent="0.3">
      <c r="A66" s="51"/>
      <c r="B66" s="199"/>
      <c r="C66" s="201" t="s">
        <v>1265</v>
      </c>
      <c r="D66" s="188" t="s">
        <v>829</v>
      </c>
      <c r="E66" s="183" t="s">
        <v>720</v>
      </c>
      <c r="F66" s="316">
        <v>61.375999999999998</v>
      </c>
      <c r="G66" s="185">
        <f t="shared" si="9"/>
        <v>236.63321167883211</v>
      </c>
      <c r="H66" s="305">
        <f>1449+179+332</f>
        <v>1960</v>
      </c>
      <c r="I66" s="348"/>
      <c r="J66" s="348"/>
      <c r="K66" s="186">
        <f t="shared" si="10"/>
        <v>14523.599999999999</v>
      </c>
      <c r="L66" s="321" t="e">
        <f t="shared" si="11"/>
        <v>#REF!</v>
      </c>
      <c r="M66" s="450"/>
      <c r="N66" s="123" t="e">
        <f>IF(ISNA(MATCH(C66,#REF!,0)),"",INDEX(#REF!,MATCH(C66,#REF!,0)))</f>
        <v>#REF!</v>
      </c>
      <c r="O66" s="124" t="e">
        <f>SUMIF(#REF!,C66,#REF!)</f>
        <v>#REF!</v>
      </c>
      <c r="P66" s="124" t="s">
        <v>15</v>
      </c>
    </row>
    <row r="67" spans="1:16" s="23" customFormat="1" ht="26" x14ac:dyDescent="0.3">
      <c r="A67" s="51"/>
      <c r="B67" s="199"/>
      <c r="C67" s="201" t="s">
        <v>1266</v>
      </c>
      <c r="D67" s="188" t="s">
        <v>832</v>
      </c>
      <c r="E67" s="183" t="s">
        <v>977</v>
      </c>
      <c r="F67" s="316">
        <v>0.61375999999999997</v>
      </c>
      <c r="G67" s="185">
        <f t="shared" si="9"/>
        <v>2885.4764077163709</v>
      </c>
      <c r="H67" s="305">
        <f>239</f>
        <v>239</v>
      </c>
      <c r="I67" s="348"/>
      <c r="J67" s="348"/>
      <c r="K67" s="186">
        <f t="shared" si="10"/>
        <v>1770.9899999999998</v>
      </c>
      <c r="L67" s="321" t="e">
        <f t="shared" si="11"/>
        <v>#REF!</v>
      </c>
      <c r="M67" s="450"/>
      <c r="N67" s="123" t="e">
        <f>IF(ISNA(MATCH(C67,#REF!,0)),"",INDEX(#REF!,MATCH(C67,#REF!,0)))</f>
        <v>#REF!</v>
      </c>
      <c r="O67" s="124" t="e">
        <f>SUMIF(#REF!,C67,#REF!)</f>
        <v>#REF!</v>
      </c>
      <c r="P67" s="124" t="s">
        <v>15</v>
      </c>
    </row>
    <row r="68" spans="1:16" s="23" customFormat="1" ht="26" x14ac:dyDescent="0.3">
      <c r="A68" s="51"/>
      <c r="B68" s="199"/>
      <c r="C68" s="201" t="s">
        <v>1267</v>
      </c>
      <c r="D68" s="188" t="s">
        <v>833</v>
      </c>
      <c r="E68" s="183" t="s">
        <v>977</v>
      </c>
      <c r="F68" s="316">
        <v>0.61375999999999997</v>
      </c>
      <c r="G68" s="185">
        <f t="shared" si="9"/>
        <v>10503.617049009385</v>
      </c>
      <c r="H68" s="305">
        <f>870</f>
        <v>870</v>
      </c>
      <c r="I68" s="348"/>
      <c r="J68" s="348"/>
      <c r="K68" s="186">
        <f t="shared" si="10"/>
        <v>6446.7</v>
      </c>
      <c r="L68" s="321" t="e">
        <f t="shared" si="11"/>
        <v>#REF!</v>
      </c>
      <c r="M68" s="450"/>
      <c r="N68" s="123" t="e">
        <f>IF(ISNA(MATCH(C68,#REF!,0)),"",INDEX(#REF!,MATCH(C68,#REF!,0)))</f>
        <v>#REF!</v>
      </c>
      <c r="O68" s="124" t="e">
        <f>SUMIF(#REF!,C68,#REF!)</f>
        <v>#REF!</v>
      </c>
      <c r="P68" s="124" t="s">
        <v>15</v>
      </c>
    </row>
    <row r="69" spans="1:16" s="7" customFormat="1" ht="26" x14ac:dyDescent="0.25">
      <c r="A69" s="38"/>
      <c r="B69" s="128" t="s">
        <v>1730</v>
      </c>
      <c r="C69" s="194" t="s">
        <v>1268</v>
      </c>
      <c r="D69" s="60" t="s">
        <v>1731</v>
      </c>
      <c r="E69" s="195" t="s">
        <v>970</v>
      </c>
      <c r="F69" s="196">
        <v>1</v>
      </c>
      <c r="G69" s="197">
        <f t="shared" si="9"/>
        <v>112291.13999999998</v>
      </c>
      <c r="H69" s="300">
        <v>15154</v>
      </c>
      <c r="I69" s="300"/>
      <c r="J69" s="342"/>
      <c r="K69" s="198">
        <f t="shared" si="10"/>
        <v>112291.13999999998</v>
      </c>
      <c r="L69" s="119" t="e">
        <f t="shared" si="11"/>
        <v>#REF!</v>
      </c>
      <c r="M69" s="451" t="s">
        <v>1164</v>
      </c>
      <c r="N69" s="129" t="e">
        <f>IF(ISNA(MATCH(C69,#REF!,0)),"",INDEX(#REF!,MATCH(C69,#REF!,0)))</f>
        <v>#REF!</v>
      </c>
      <c r="O69" s="130" t="e">
        <f>SUMIF(#REF!,C69,#REF!)</f>
        <v>#REF!</v>
      </c>
      <c r="P69" s="130" t="s">
        <v>16</v>
      </c>
    </row>
    <row r="70" spans="1:16" s="7" customFormat="1" ht="39" x14ac:dyDescent="0.25">
      <c r="A70" s="38"/>
      <c r="B70" s="128" t="s">
        <v>1733</v>
      </c>
      <c r="C70" s="203" t="s">
        <v>1269</v>
      </c>
      <c r="D70" s="60" t="s">
        <v>1732</v>
      </c>
      <c r="E70" s="195"/>
      <c r="F70" s="204"/>
      <c r="G70" s="197"/>
      <c r="H70" s="304">
        <f>SUM(H71:H82)</f>
        <v>46114</v>
      </c>
      <c r="I70" s="304"/>
      <c r="J70" s="347"/>
      <c r="K70" s="205">
        <f>SUM(K71:K82)</f>
        <v>341704.74</v>
      </c>
      <c r="L70" s="205" t="e">
        <f>SUM(L71:L82)</f>
        <v>#REF!</v>
      </c>
      <c r="M70" s="452" t="s">
        <v>1164</v>
      </c>
      <c r="N70" s="129" t="e">
        <f>IF(ISNA(MATCH(C70,#REF!,0)),"",INDEX(#REF!,MATCH(C70,#REF!,0)))</f>
        <v>#REF!</v>
      </c>
      <c r="O70" s="130" t="e">
        <f>SUMIF(#REF!,C70,#REF!)</f>
        <v>#REF!</v>
      </c>
      <c r="P70" s="130" t="s">
        <v>17</v>
      </c>
    </row>
    <row r="71" spans="1:16" s="7" customFormat="1" ht="39" x14ac:dyDescent="0.25">
      <c r="A71" s="57" t="s">
        <v>954</v>
      </c>
      <c r="B71" s="132"/>
      <c r="C71" s="201" t="s">
        <v>1270</v>
      </c>
      <c r="D71" s="58" t="s">
        <v>1734</v>
      </c>
      <c r="E71" s="200" t="s">
        <v>1176</v>
      </c>
      <c r="F71" s="316">
        <v>2.222</v>
      </c>
      <c r="G71" s="185">
        <f t="shared" ref="G71:G83" si="12">K71/F71</f>
        <v>24414.315931593155</v>
      </c>
      <c r="H71" s="306">
        <f>1768+5200+353</f>
        <v>7321</v>
      </c>
      <c r="I71" s="349"/>
      <c r="J71" s="349"/>
      <c r="K71" s="186">
        <f t="shared" ref="K71:K83" si="13">H71*$C$4*$C$5</f>
        <v>54248.609999999993</v>
      </c>
      <c r="L71" s="321" t="e">
        <f t="shared" ref="L71:L83" si="14">IF(N71="поставка Заказчика",N71,K71)</f>
        <v>#REF!</v>
      </c>
      <c r="M71" s="451"/>
      <c r="N71" s="131" t="e">
        <f>IF(ISNA(MATCH(C71,#REF!,0)),"",INDEX(#REF!,MATCH(C71,#REF!,0)))</f>
        <v>#REF!</v>
      </c>
      <c r="O71" s="114" t="e">
        <f>SUMIF(#REF!,C71,#REF!)</f>
        <v>#REF!</v>
      </c>
      <c r="P71" s="114" t="s">
        <v>17</v>
      </c>
    </row>
    <row r="72" spans="1:16" s="53" customFormat="1" ht="39" x14ac:dyDescent="0.25">
      <c r="A72" s="57" t="s">
        <v>954</v>
      </c>
      <c r="B72" s="133"/>
      <c r="C72" s="201" t="s">
        <v>1271</v>
      </c>
      <c r="D72" s="58" t="s">
        <v>959</v>
      </c>
      <c r="E72" s="200" t="s">
        <v>970</v>
      </c>
      <c r="F72" s="206">
        <v>12</v>
      </c>
      <c r="G72" s="207">
        <f t="shared" si="12"/>
        <v>366.17750000000001</v>
      </c>
      <c r="H72" s="305">
        <v>593</v>
      </c>
      <c r="I72" s="348"/>
      <c r="J72" s="348"/>
      <c r="K72" s="186">
        <f t="shared" si="13"/>
        <v>4394.13</v>
      </c>
      <c r="L72" s="321" t="e">
        <f t="shared" si="14"/>
        <v>#REF!</v>
      </c>
      <c r="M72" s="453"/>
      <c r="N72" s="131" t="e">
        <f>IF(ISNA(MATCH(C72,#REF!,0)),"",INDEX(#REF!,MATCH(C72,#REF!,0)))</f>
        <v>#REF!</v>
      </c>
      <c r="O72" s="114" t="e">
        <f>SUMIF(#REF!,C72,#REF!)</f>
        <v>#REF!</v>
      </c>
      <c r="P72" s="114" t="s">
        <v>17</v>
      </c>
    </row>
    <row r="73" spans="1:16" s="53" customFormat="1" ht="26" x14ac:dyDescent="0.25">
      <c r="A73" s="57" t="s">
        <v>954</v>
      </c>
      <c r="B73" s="133"/>
      <c r="C73" s="201" t="s">
        <v>1272</v>
      </c>
      <c r="D73" s="58" t="s">
        <v>1726</v>
      </c>
      <c r="E73" s="200" t="s">
        <v>977</v>
      </c>
      <c r="F73" s="206">
        <v>0.28799999999999998</v>
      </c>
      <c r="G73" s="207">
        <f t="shared" si="12"/>
        <v>3988.0208333333335</v>
      </c>
      <c r="H73" s="305">
        <f>73+73+9</f>
        <v>155</v>
      </c>
      <c r="I73" s="348"/>
      <c r="J73" s="348"/>
      <c r="K73" s="186">
        <f t="shared" si="13"/>
        <v>1148.55</v>
      </c>
      <c r="L73" s="321" t="e">
        <f t="shared" si="14"/>
        <v>#REF!</v>
      </c>
      <c r="M73" s="453"/>
      <c r="N73" s="131" t="e">
        <f>IF(ISNA(MATCH(C73,#REF!,0)),"",INDEX(#REF!,MATCH(C73,#REF!,0)))</f>
        <v>#REF!</v>
      </c>
      <c r="O73" s="114" t="e">
        <f>SUMIF(#REF!,C73,#REF!)</f>
        <v>#REF!</v>
      </c>
      <c r="P73" s="114" t="s">
        <v>17</v>
      </c>
    </row>
    <row r="74" spans="1:16" s="7" customFormat="1" ht="39" x14ac:dyDescent="0.25">
      <c r="A74" s="55">
        <v>0</v>
      </c>
      <c r="B74" s="132"/>
      <c r="C74" s="201" t="s">
        <v>1273</v>
      </c>
      <c r="D74" s="58" t="s">
        <v>961</v>
      </c>
      <c r="E74" s="200" t="s">
        <v>977</v>
      </c>
      <c r="F74" s="208">
        <v>0.216</v>
      </c>
      <c r="G74" s="207">
        <f t="shared" si="12"/>
        <v>2607.2222222222217</v>
      </c>
      <c r="H74" s="302">
        <f>38+38</f>
        <v>76</v>
      </c>
      <c r="I74" s="344"/>
      <c r="J74" s="344"/>
      <c r="K74" s="186">
        <f t="shared" si="13"/>
        <v>563.15999999999985</v>
      </c>
      <c r="L74" s="321" t="e">
        <f t="shared" si="14"/>
        <v>#REF!</v>
      </c>
      <c r="M74" s="451"/>
      <c r="N74" s="131" t="e">
        <f>IF(ISNA(MATCH(C74,#REF!,0)),"",INDEX(#REF!,MATCH(C74,#REF!,0)))</f>
        <v>#REF!</v>
      </c>
      <c r="O74" s="114" t="e">
        <f>SUMIF(#REF!,C74,#REF!)</f>
        <v>#REF!</v>
      </c>
      <c r="P74" s="114" t="s">
        <v>17</v>
      </c>
    </row>
    <row r="75" spans="1:16" s="13" customFormat="1" ht="26" x14ac:dyDescent="0.25">
      <c r="A75" s="39"/>
      <c r="B75" s="132"/>
      <c r="C75" s="201" t="s">
        <v>1274</v>
      </c>
      <c r="D75" s="58" t="s">
        <v>962</v>
      </c>
      <c r="E75" s="200" t="s">
        <v>969</v>
      </c>
      <c r="F75" s="316">
        <v>0.39400000000000002</v>
      </c>
      <c r="G75" s="207">
        <f t="shared" si="12"/>
        <v>51964.035532994916</v>
      </c>
      <c r="H75" s="305">
        <f>1122+1641</f>
        <v>2763</v>
      </c>
      <c r="I75" s="348"/>
      <c r="J75" s="348"/>
      <c r="K75" s="186">
        <f t="shared" si="13"/>
        <v>20473.829999999998</v>
      </c>
      <c r="L75" s="321" t="e">
        <f t="shared" si="14"/>
        <v>#REF!</v>
      </c>
      <c r="M75" s="454"/>
      <c r="N75" s="131" t="e">
        <f>IF(ISNA(MATCH(C75,#REF!,0)),"",INDEX(#REF!,MATCH(C75,#REF!,0)))</f>
        <v>#REF!</v>
      </c>
      <c r="O75" s="114" t="e">
        <f>SUMIF(#REF!,C75,#REF!)</f>
        <v>#REF!</v>
      </c>
      <c r="P75" s="114" t="s">
        <v>17</v>
      </c>
    </row>
    <row r="76" spans="1:16" s="14" customFormat="1" ht="52" x14ac:dyDescent="0.25">
      <c r="A76" s="39"/>
      <c r="B76" s="132"/>
      <c r="C76" s="201" t="s">
        <v>1275</v>
      </c>
      <c r="D76" s="58" t="s">
        <v>1701</v>
      </c>
      <c r="E76" s="200" t="s">
        <v>971</v>
      </c>
      <c r="F76" s="206">
        <v>1.212</v>
      </c>
      <c r="G76" s="207">
        <f t="shared" si="12"/>
        <v>5465.7920792079212</v>
      </c>
      <c r="H76" s="305">
        <v>894</v>
      </c>
      <c r="I76" s="348"/>
      <c r="J76" s="348"/>
      <c r="K76" s="186">
        <f t="shared" si="13"/>
        <v>6624.54</v>
      </c>
      <c r="L76" s="321" t="e">
        <f t="shared" si="14"/>
        <v>#REF!</v>
      </c>
      <c r="M76" s="455"/>
      <c r="N76" s="131" t="e">
        <f>IF(ISNA(MATCH(C76,#REF!,0)),"",INDEX(#REF!,MATCH(C76,#REF!,0)))</f>
        <v>#REF!</v>
      </c>
      <c r="O76" s="114" t="e">
        <f>SUMIF(#REF!,C76,#REF!)</f>
        <v>#REF!</v>
      </c>
      <c r="P76" s="114" t="s">
        <v>17</v>
      </c>
    </row>
    <row r="77" spans="1:16" s="13" customFormat="1" ht="52" x14ac:dyDescent="0.25">
      <c r="A77" s="39"/>
      <c r="B77" s="132"/>
      <c r="C77" s="201" t="s">
        <v>1276</v>
      </c>
      <c r="D77" s="58" t="s">
        <v>825</v>
      </c>
      <c r="E77" s="200" t="s">
        <v>969</v>
      </c>
      <c r="F77" s="206">
        <v>0.26600000000000001</v>
      </c>
      <c r="G77" s="207">
        <f t="shared" si="12"/>
        <v>89031.428571428551</v>
      </c>
      <c r="H77" s="305">
        <v>3196</v>
      </c>
      <c r="I77" s="348"/>
      <c r="J77" s="348"/>
      <c r="K77" s="186">
        <f t="shared" si="13"/>
        <v>23682.359999999997</v>
      </c>
      <c r="L77" s="321" t="e">
        <f t="shared" si="14"/>
        <v>#REF!</v>
      </c>
      <c r="M77" s="454"/>
      <c r="N77" s="131" t="e">
        <f>IF(ISNA(MATCH(C77,#REF!,0)),"",INDEX(#REF!,MATCH(C77,#REF!,0)))</f>
        <v>#REF!</v>
      </c>
      <c r="O77" s="114" t="e">
        <f>SUMIF(#REF!,C77,#REF!)</f>
        <v>#REF!</v>
      </c>
      <c r="P77" s="114" t="s">
        <v>17</v>
      </c>
    </row>
    <row r="78" spans="1:16" s="13" customFormat="1" ht="39" x14ac:dyDescent="0.25">
      <c r="A78" s="39"/>
      <c r="B78" s="134"/>
      <c r="C78" s="201" t="s">
        <v>1277</v>
      </c>
      <c r="D78" s="188" t="s">
        <v>1735</v>
      </c>
      <c r="E78" s="189" t="s">
        <v>826</v>
      </c>
      <c r="F78" s="316">
        <v>1.6299999999999999E-3</v>
      </c>
      <c r="G78" s="207">
        <f t="shared" si="12"/>
        <v>731907.97546012269</v>
      </c>
      <c r="H78" s="305">
        <f>37+15+26+40+43</f>
        <v>161</v>
      </c>
      <c r="I78" s="348"/>
      <c r="J78" s="348"/>
      <c r="K78" s="186">
        <f t="shared" si="13"/>
        <v>1193.01</v>
      </c>
      <c r="L78" s="321" t="e">
        <f t="shared" si="14"/>
        <v>#REF!</v>
      </c>
      <c r="M78" s="454"/>
      <c r="N78" s="319" t="e">
        <f>IF(ISNA(MATCH(C78,#REF!,0)),"",INDEX(#REF!,MATCH(C78,#REF!,0)))</f>
        <v>#REF!</v>
      </c>
      <c r="O78" s="113" t="e">
        <f>SUMIF(#REF!,C78,#REF!)</f>
        <v>#REF!</v>
      </c>
      <c r="P78" s="113" t="s">
        <v>17</v>
      </c>
    </row>
    <row r="79" spans="1:16" s="13" customFormat="1" ht="52" x14ac:dyDescent="0.25">
      <c r="A79" s="39"/>
      <c r="B79" s="134"/>
      <c r="C79" s="201" t="s">
        <v>1278</v>
      </c>
      <c r="D79" s="188" t="s">
        <v>1727</v>
      </c>
      <c r="E79" s="183" t="s">
        <v>969</v>
      </c>
      <c r="F79" s="209">
        <v>1.617</v>
      </c>
      <c r="G79" s="207">
        <f t="shared" si="12"/>
        <v>126437.42115027829</v>
      </c>
      <c r="H79" s="305">
        <f>1559+6738+18491+805-2</f>
        <v>27591</v>
      </c>
      <c r="I79" s="348"/>
      <c r="J79" s="348"/>
      <c r="K79" s="186">
        <f t="shared" si="13"/>
        <v>204449.31</v>
      </c>
      <c r="L79" s="321" t="e">
        <f t="shared" si="14"/>
        <v>#REF!</v>
      </c>
      <c r="M79" s="454"/>
      <c r="N79" s="123" t="e">
        <f>IF(ISNA(MATCH(C79,#REF!,0)),"",INDEX(#REF!,MATCH(C79,#REF!,0)))</f>
        <v>#REF!</v>
      </c>
      <c r="O79" s="124" t="e">
        <f>SUMIF(#REF!,C79,#REF!)</f>
        <v>#REF!</v>
      </c>
      <c r="P79" s="124" t="s">
        <v>17</v>
      </c>
    </row>
    <row r="80" spans="1:16" s="53" customFormat="1" ht="26.5" thickBot="1" x14ac:dyDescent="0.3">
      <c r="A80" s="57" t="s">
        <v>954</v>
      </c>
      <c r="B80" s="135"/>
      <c r="C80" s="201" t="s">
        <v>1279</v>
      </c>
      <c r="D80" s="188" t="s">
        <v>829</v>
      </c>
      <c r="E80" s="183" t="s">
        <v>720</v>
      </c>
      <c r="F80" s="209">
        <v>67.293999999999997</v>
      </c>
      <c r="G80" s="207">
        <f t="shared" si="12"/>
        <v>236.63461824233957</v>
      </c>
      <c r="H80" s="305">
        <f>1589+196+364</f>
        <v>2149</v>
      </c>
      <c r="I80" s="348"/>
      <c r="J80" s="348"/>
      <c r="K80" s="186">
        <f t="shared" si="13"/>
        <v>15924.089999999998</v>
      </c>
      <c r="L80" s="321" t="e">
        <f t="shared" si="14"/>
        <v>#REF!</v>
      </c>
      <c r="M80" s="453"/>
      <c r="N80" s="123" t="e">
        <f>IF(ISNA(MATCH(C80,#REF!,0)),"",INDEX(#REF!,MATCH(C80,#REF!,0)))</f>
        <v>#REF!</v>
      </c>
      <c r="O80" s="124" t="e">
        <f>SUMIF(#REF!,C80,#REF!)</f>
        <v>#REF!</v>
      </c>
      <c r="P80" s="124" t="s">
        <v>17</v>
      </c>
    </row>
    <row r="81" spans="1:16" s="14" customFormat="1" ht="26" x14ac:dyDescent="0.25">
      <c r="A81" s="39"/>
      <c r="B81" s="134"/>
      <c r="C81" s="201" t="s">
        <v>1280</v>
      </c>
      <c r="D81" s="188" t="s">
        <v>832</v>
      </c>
      <c r="E81" s="183" t="s">
        <v>977</v>
      </c>
      <c r="F81" s="316">
        <v>0.67293999999999998</v>
      </c>
      <c r="G81" s="207">
        <f t="shared" si="12"/>
        <v>2862.959550628585</v>
      </c>
      <c r="H81" s="307">
        <v>260</v>
      </c>
      <c r="I81" s="350"/>
      <c r="J81" s="350"/>
      <c r="K81" s="186">
        <f t="shared" si="13"/>
        <v>1926.6</v>
      </c>
      <c r="L81" s="321" t="e">
        <f t="shared" si="14"/>
        <v>#REF!</v>
      </c>
      <c r="M81" s="455"/>
      <c r="N81" s="123" t="e">
        <f>IF(ISNA(MATCH(C81,#REF!,0)),"",INDEX(#REF!,MATCH(C81,#REF!,0)))</f>
        <v>#REF!</v>
      </c>
      <c r="O81" s="124" t="e">
        <f>SUMIF(#REF!,C81,#REF!)</f>
        <v>#REF!</v>
      </c>
      <c r="P81" s="124" t="s">
        <v>17</v>
      </c>
    </row>
    <row r="82" spans="1:16" s="14" customFormat="1" ht="26" x14ac:dyDescent="0.25">
      <c r="A82" s="39"/>
      <c r="B82" s="134"/>
      <c r="C82" s="201" t="s">
        <v>1281</v>
      </c>
      <c r="D82" s="188" t="s">
        <v>833</v>
      </c>
      <c r="E82" s="183" t="s">
        <v>977</v>
      </c>
      <c r="F82" s="316">
        <v>0.67293999999999998</v>
      </c>
      <c r="G82" s="207">
        <f t="shared" si="12"/>
        <v>10515.870657116533</v>
      </c>
      <c r="H82" s="307">
        <v>955</v>
      </c>
      <c r="I82" s="350"/>
      <c r="J82" s="350"/>
      <c r="K82" s="186">
        <f t="shared" si="13"/>
        <v>7076.5499999999993</v>
      </c>
      <c r="L82" s="321" t="e">
        <f t="shared" si="14"/>
        <v>#REF!</v>
      </c>
      <c r="M82" s="455"/>
      <c r="N82" s="123" t="e">
        <f>IF(ISNA(MATCH(C82,#REF!,0)),"",INDEX(#REF!,MATCH(C82,#REF!,0)))</f>
        <v>#REF!</v>
      </c>
      <c r="O82" s="124" t="e">
        <f>SUMIF(#REF!,C82,#REF!)</f>
        <v>#REF!</v>
      </c>
      <c r="P82" s="124" t="s">
        <v>17</v>
      </c>
    </row>
    <row r="83" spans="1:16" s="14" customFormat="1" ht="26" x14ac:dyDescent="0.25">
      <c r="A83" s="39"/>
      <c r="B83" s="128" t="s">
        <v>1736</v>
      </c>
      <c r="C83" s="203" t="s">
        <v>1282</v>
      </c>
      <c r="D83" s="210" t="s">
        <v>1740</v>
      </c>
      <c r="E83" s="195" t="s">
        <v>970</v>
      </c>
      <c r="F83" s="204">
        <v>4</v>
      </c>
      <c r="G83" s="211">
        <f t="shared" si="12"/>
        <v>26414.797499999997</v>
      </c>
      <c r="H83" s="212">
        <v>14259</v>
      </c>
      <c r="I83" s="212"/>
      <c r="J83" s="351"/>
      <c r="K83" s="198">
        <f t="shared" si="13"/>
        <v>105659.18999999999</v>
      </c>
      <c r="L83" s="119" t="e">
        <f t="shared" si="14"/>
        <v>#REF!</v>
      </c>
      <c r="M83" s="455" t="s">
        <v>1164</v>
      </c>
      <c r="N83" s="129" t="e">
        <f>IF(ISNA(MATCH(C83,#REF!,0)),"",INDEX(#REF!,MATCH(C83,#REF!,0)))</f>
        <v>#REF!</v>
      </c>
      <c r="O83" s="130" t="e">
        <f>SUMIF(#REF!,C83,#REF!)</f>
        <v>#REF!</v>
      </c>
      <c r="P83" s="130" t="s">
        <v>18</v>
      </c>
    </row>
    <row r="84" spans="1:16" s="14" customFormat="1" ht="65" x14ac:dyDescent="0.25">
      <c r="A84" s="39"/>
      <c r="B84" s="128" t="s">
        <v>82</v>
      </c>
      <c r="C84" s="213" t="s">
        <v>1283</v>
      </c>
      <c r="D84" s="210" t="s">
        <v>81</v>
      </c>
      <c r="E84" s="214"/>
      <c r="F84" s="215"/>
      <c r="G84" s="211"/>
      <c r="H84" s="304">
        <f>H85+H104+H123+H130+H137</f>
        <v>226373</v>
      </c>
      <c r="I84" s="304"/>
      <c r="J84" s="347"/>
      <c r="K84" s="205">
        <f>K85+K104+K123+K130+K137</f>
        <v>1677423.93</v>
      </c>
      <c r="L84" s="205" t="e">
        <f>L85+L104+L123+L130+L137</f>
        <v>#REF!</v>
      </c>
      <c r="M84" s="455" t="s">
        <v>1164</v>
      </c>
      <c r="N84" s="136" t="e">
        <f>IF(ISNA(MATCH(C84,#REF!,0)),"",INDEX(#REF!,MATCH(C84,#REF!,0)))</f>
        <v>#REF!</v>
      </c>
      <c r="O84" s="137" t="e">
        <f>SUMIF(#REF!,C84,#REF!)</f>
        <v>#REF!</v>
      </c>
      <c r="P84" s="130" t="s">
        <v>19</v>
      </c>
    </row>
    <row r="85" spans="1:16" s="23" customFormat="1" x14ac:dyDescent="0.3">
      <c r="A85" s="51"/>
      <c r="B85" s="125"/>
      <c r="C85" s="286" t="s">
        <v>1284</v>
      </c>
      <c r="D85" s="287" t="s">
        <v>83</v>
      </c>
      <c r="E85" s="233"/>
      <c r="F85" s="234"/>
      <c r="G85" s="235"/>
      <c r="H85" s="301">
        <f>SUM(H86:H103)</f>
        <v>95989</v>
      </c>
      <c r="I85" s="301"/>
      <c r="J85" s="343"/>
      <c r="K85" s="236">
        <f>SUM(K86:K103)</f>
        <v>711278.49000000011</v>
      </c>
      <c r="L85" s="236" t="e">
        <f>SUM(L86:L103)</f>
        <v>#REF!</v>
      </c>
      <c r="M85" s="449"/>
      <c r="N85" s="126" t="e">
        <f>IF(ISNA(MATCH(C85,#REF!,0)),"",INDEX(#REF!,MATCH(C85,#REF!,0)))</f>
        <v>#REF!</v>
      </c>
      <c r="O85" s="127" t="e">
        <f>SUMIF(#REF!,C85,#REF!)</f>
        <v>#REF!</v>
      </c>
      <c r="P85" s="127" t="s">
        <v>19</v>
      </c>
    </row>
    <row r="86" spans="1:16" s="14" customFormat="1" ht="26" x14ac:dyDescent="0.25">
      <c r="A86" s="39"/>
      <c r="B86" s="134"/>
      <c r="C86" s="201" t="s">
        <v>1285</v>
      </c>
      <c r="D86" s="168" t="s">
        <v>84</v>
      </c>
      <c r="E86" s="200" t="s">
        <v>840</v>
      </c>
      <c r="F86" s="316">
        <v>0.91962600000000005</v>
      </c>
      <c r="G86" s="207">
        <f t="shared" ref="G86:G103" si="15">K86/F86</f>
        <v>36065.922451083366</v>
      </c>
      <c r="H86" s="187">
        <v>4476</v>
      </c>
      <c r="I86" s="244"/>
      <c r="J86" s="244"/>
      <c r="K86" s="186">
        <f t="shared" ref="K86:K103" si="16">H86*$C$4*$C$5</f>
        <v>33167.159999999996</v>
      </c>
      <c r="L86" s="321" t="e">
        <f t="shared" ref="L86:L103" si="17">IF(N86="поставка Заказчика",N86,K86)</f>
        <v>#REF!</v>
      </c>
      <c r="M86" s="455"/>
      <c r="N86" s="131" t="e">
        <f>IF(ISNA(MATCH(C86,#REF!,0)),"",INDEX(#REF!,MATCH(C86,#REF!,0)))</f>
        <v>#REF!</v>
      </c>
      <c r="O86" s="114" t="e">
        <f>SUMIF(#REF!,C86,#REF!)</f>
        <v>#REF!</v>
      </c>
      <c r="P86" s="114" t="s">
        <v>19</v>
      </c>
    </row>
    <row r="87" spans="1:16" s="14" customFormat="1" ht="52" x14ac:dyDescent="0.25">
      <c r="A87" s="39"/>
      <c r="B87" s="134"/>
      <c r="C87" s="201" t="s">
        <v>1286</v>
      </c>
      <c r="D87" s="168" t="s">
        <v>85</v>
      </c>
      <c r="E87" s="200" t="s">
        <v>826</v>
      </c>
      <c r="F87" s="202">
        <v>0.28442000000000001</v>
      </c>
      <c r="G87" s="207">
        <f t="shared" si="15"/>
        <v>28371.738977568381</v>
      </c>
      <c r="H87" s="187">
        <v>1089</v>
      </c>
      <c r="I87" s="244"/>
      <c r="J87" s="244"/>
      <c r="K87" s="186">
        <f t="shared" si="16"/>
        <v>8069.4899999999989</v>
      </c>
      <c r="L87" s="321" t="e">
        <f t="shared" si="17"/>
        <v>#REF!</v>
      </c>
      <c r="M87" s="455"/>
      <c r="N87" s="131" t="e">
        <f>IF(ISNA(MATCH(C87,#REF!,0)),"",INDEX(#REF!,MATCH(C87,#REF!,0)))</f>
        <v>#REF!</v>
      </c>
      <c r="O87" s="114" t="e">
        <f>SUMIF(#REF!,C87,#REF!)</f>
        <v>#REF!</v>
      </c>
      <c r="P87" s="114" t="s">
        <v>19</v>
      </c>
    </row>
    <row r="88" spans="1:16" s="14" customFormat="1" ht="39" x14ac:dyDescent="0.25">
      <c r="A88" s="39"/>
      <c r="B88" s="134"/>
      <c r="C88" s="201" t="s">
        <v>1287</v>
      </c>
      <c r="D88" s="168" t="s">
        <v>839</v>
      </c>
      <c r="E88" s="200" t="s">
        <v>840</v>
      </c>
      <c r="F88" s="202">
        <v>0.94806800000000002</v>
      </c>
      <c r="G88" s="207">
        <f t="shared" si="15"/>
        <v>13294.837501107515</v>
      </c>
      <c r="H88" s="187">
        <v>1701</v>
      </c>
      <c r="I88" s="244"/>
      <c r="J88" s="244"/>
      <c r="K88" s="186">
        <f t="shared" si="16"/>
        <v>12604.41</v>
      </c>
      <c r="L88" s="321" t="e">
        <f t="shared" si="17"/>
        <v>#REF!</v>
      </c>
      <c r="M88" s="455"/>
      <c r="N88" s="131" t="e">
        <f>IF(ISNA(MATCH(C88,#REF!,0)),"",INDEX(#REF!,MATCH(C88,#REF!,0)))</f>
        <v>#REF!</v>
      </c>
      <c r="O88" s="114" t="e">
        <f>SUMIF(#REF!,C88,#REF!)</f>
        <v>#REF!</v>
      </c>
      <c r="P88" s="114" t="s">
        <v>19</v>
      </c>
    </row>
    <row r="89" spans="1:16" s="14" customFormat="1" ht="39" x14ac:dyDescent="0.25">
      <c r="A89" s="39"/>
      <c r="B89" s="134"/>
      <c r="C89" s="201" t="s">
        <v>1288</v>
      </c>
      <c r="D89" s="168" t="s">
        <v>86</v>
      </c>
      <c r="E89" s="200" t="s">
        <v>969</v>
      </c>
      <c r="F89" s="202">
        <v>5.1619999999999999</v>
      </c>
      <c r="G89" s="207">
        <f t="shared" si="15"/>
        <v>11369.081751259202</v>
      </c>
      <c r="H89" s="187">
        <v>7920</v>
      </c>
      <c r="I89" s="244"/>
      <c r="J89" s="244"/>
      <c r="K89" s="186">
        <f t="shared" si="16"/>
        <v>58687.199999999997</v>
      </c>
      <c r="L89" s="321" t="e">
        <f t="shared" si="17"/>
        <v>#REF!</v>
      </c>
      <c r="M89" s="455"/>
      <c r="N89" s="131" t="e">
        <f>IF(ISNA(MATCH(C89,#REF!,0)),"",INDEX(#REF!,MATCH(C89,#REF!,0)))</f>
        <v>#REF!</v>
      </c>
      <c r="O89" s="114" t="e">
        <f>SUMIF(#REF!,C89,#REF!)</f>
        <v>#REF!</v>
      </c>
      <c r="P89" s="114" t="s">
        <v>19</v>
      </c>
    </row>
    <row r="90" spans="1:16" s="14" customFormat="1" ht="26" x14ac:dyDescent="0.25">
      <c r="A90" s="39"/>
      <c r="B90" s="134"/>
      <c r="C90" s="201" t="s">
        <v>1289</v>
      </c>
      <c r="D90" s="168" t="s">
        <v>87</v>
      </c>
      <c r="E90" s="200" t="s">
        <v>971</v>
      </c>
      <c r="F90" s="316">
        <v>96.96</v>
      </c>
      <c r="G90" s="207">
        <f t="shared" si="15"/>
        <v>2775.6166460396039</v>
      </c>
      <c r="H90" s="191">
        <v>36319</v>
      </c>
      <c r="I90" s="346"/>
      <c r="J90" s="346"/>
      <c r="K90" s="186">
        <f t="shared" si="16"/>
        <v>269123.78999999998</v>
      </c>
      <c r="L90" s="321" t="e">
        <f t="shared" si="17"/>
        <v>#REF!</v>
      </c>
      <c r="M90" s="455"/>
      <c r="N90" s="131" t="e">
        <f>IF(ISNA(MATCH(C90,#REF!,0)),"",INDEX(#REF!,MATCH(C90,#REF!,0)))</f>
        <v>#REF!</v>
      </c>
      <c r="O90" s="114" t="e">
        <f>SUMIF(#REF!,C90,#REF!)</f>
        <v>#REF!</v>
      </c>
      <c r="P90" s="114" t="s">
        <v>19</v>
      </c>
    </row>
    <row r="91" spans="1:16" s="13" customFormat="1" ht="39" x14ac:dyDescent="0.25">
      <c r="A91" s="39"/>
      <c r="B91" s="132"/>
      <c r="C91" s="201" t="s">
        <v>1290</v>
      </c>
      <c r="D91" s="168" t="s">
        <v>88</v>
      </c>
      <c r="E91" s="200" t="s">
        <v>969</v>
      </c>
      <c r="F91" s="202">
        <v>0.14799999999999999</v>
      </c>
      <c r="G91" s="207">
        <f t="shared" si="15"/>
        <v>89020.135135135133</v>
      </c>
      <c r="H91" s="187">
        <v>1778</v>
      </c>
      <c r="I91" s="244"/>
      <c r="J91" s="244"/>
      <c r="K91" s="186">
        <f t="shared" si="16"/>
        <v>13174.98</v>
      </c>
      <c r="L91" s="321" t="e">
        <f t="shared" si="17"/>
        <v>#REF!</v>
      </c>
      <c r="M91" s="454"/>
      <c r="N91" s="131" t="e">
        <f>IF(ISNA(MATCH(C91,#REF!,0)),"",INDEX(#REF!,MATCH(C91,#REF!,0)))</f>
        <v>#REF!</v>
      </c>
      <c r="O91" s="114" t="e">
        <f>SUMIF(#REF!,C91,#REF!)</f>
        <v>#REF!</v>
      </c>
      <c r="P91" s="114" t="s">
        <v>19</v>
      </c>
    </row>
    <row r="92" spans="1:16" s="13" customFormat="1" ht="39" x14ac:dyDescent="0.25">
      <c r="A92" s="39"/>
      <c r="B92" s="134"/>
      <c r="C92" s="201" t="s">
        <v>1291</v>
      </c>
      <c r="D92" s="59" t="s">
        <v>89</v>
      </c>
      <c r="E92" s="200" t="s">
        <v>969</v>
      </c>
      <c r="F92" s="202">
        <v>0.152</v>
      </c>
      <c r="G92" s="207">
        <f t="shared" si="15"/>
        <v>77220</v>
      </c>
      <c r="H92" s="187">
        <f>238+1346</f>
        <v>1584</v>
      </c>
      <c r="I92" s="244"/>
      <c r="J92" s="244"/>
      <c r="K92" s="186">
        <f t="shared" si="16"/>
        <v>11737.439999999999</v>
      </c>
      <c r="L92" s="321" t="e">
        <f t="shared" si="17"/>
        <v>#REF!</v>
      </c>
      <c r="M92" s="454"/>
      <c r="N92" s="131" t="e">
        <f>IF(ISNA(MATCH(C92,#REF!,0)),"",INDEX(#REF!,MATCH(C92,#REF!,0)))</f>
        <v>#REF!</v>
      </c>
      <c r="O92" s="114" t="e">
        <f>SUMIF(#REF!,C92,#REF!)</f>
        <v>#REF!</v>
      </c>
      <c r="P92" s="114" t="s">
        <v>19</v>
      </c>
    </row>
    <row r="93" spans="1:16" s="13" customFormat="1" ht="39" x14ac:dyDescent="0.25">
      <c r="A93" s="39"/>
      <c r="B93" s="134"/>
      <c r="C93" s="201" t="s">
        <v>1292</v>
      </c>
      <c r="D93" s="217" t="s">
        <v>90</v>
      </c>
      <c r="E93" s="200" t="s">
        <v>969</v>
      </c>
      <c r="F93" s="208">
        <v>0.14799999999999999</v>
      </c>
      <c r="G93" s="207">
        <f t="shared" si="15"/>
        <v>100535.67567567567</v>
      </c>
      <c r="H93" s="305">
        <v>2008</v>
      </c>
      <c r="I93" s="348"/>
      <c r="J93" s="348"/>
      <c r="K93" s="186">
        <f t="shared" si="16"/>
        <v>14879.279999999999</v>
      </c>
      <c r="L93" s="321" t="e">
        <f t="shared" si="17"/>
        <v>#REF!</v>
      </c>
      <c r="M93" s="454"/>
      <c r="N93" s="131" t="e">
        <f>IF(ISNA(MATCH(C93,#REF!,0)),"",INDEX(#REF!,MATCH(C93,#REF!,0)))</f>
        <v>#REF!</v>
      </c>
      <c r="O93" s="114" t="e">
        <f>SUMIF(#REF!,C93,#REF!)</f>
        <v>#REF!</v>
      </c>
      <c r="P93" s="114" t="s">
        <v>19</v>
      </c>
    </row>
    <row r="94" spans="1:16" s="13" customFormat="1" ht="52" x14ac:dyDescent="0.25">
      <c r="A94" s="39"/>
      <c r="B94" s="134"/>
      <c r="C94" s="201" t="s">
        <v>1293</v>
      </c>
      <c r="D94" s="218" t="s">
        <v>211</v>
      </c>
      <c r="E94" s="219" t="s">
        <v>826</v>
      </c>
      <c r="F94" s="220">
        <v>5.7279999999999998E-2</v>
      </c>
      <c r="G94" s="207">
        <f t="shared" si="15"/>
        <v>1268160.4399441339</v>
      </c>
      <c r="H94" s="307">
        <f>3533+2450+1825+1993+2</f>
        <v>9803</v>
      </c>
      <c r="I94" s="350"/>
      <c r="J94" s="350"/>
      <c r="K94" s="186">
        <f t="shared" si="16"/>
        <v>72640.229999999981</v>
      </c>
      <c r="L94" s="321" t="e">
        <f t="shared" si="17"/>
        <v>#REF!</v>
      </c>
      <c r="M94" s="454"/>
      <c r="N94" s="138" t="e">
        <f>IF(ISNA(MATCH(C94,#REF!,0)),"",INDEX(#REF!,MATCH(C94,#REF!,0)))</f>
        <v>#REF!</v>
      </c>
      <c r="O94" s="139" t="e">
        <f>SUMIF(#REF!,C94,#REF!)</f>
        <v>#REF!</v>
      </c>
      <c r="P94" s="139" t="s">
        <v>19</v>
      </c>
    </row>
    <row r="95" spans="1:16" s="13" customFormat="1" ht="26" x14ac:dyDescent="0.25">
      <c r="A95" s="39"/>
      <c r="B95" s="134"/>
      <c r="C95" s="201" t="s">
        <v>1294</v>
      </c>
      <c r="D95" s="188" t="s">
        <v>829</v>
      </c>
      <c r="E95" s="183" t="s">
        <v>720</v>
      </c>
      <c r="F95" s="316">
        <v>82.293999999999997</v>
      </c>
      <c r="G95" s="207">
        <f t="shared" si="15"/>
        <v>236.72309038326003</v>
      </c>
      <c r="H95" s="307">
        <f>1943+240+446</f>
        <v>2629</v>
      </c>
      <c r="I95" s="350"/>
      <c r="J95" s="350"/>
      <c r="K95" s="186">
        <f t="shared" si="16"/>
        <v>19480.89</v>
      </c>
      <c r="L95" s="321" t="e">
        <f t="shared" si="17"/>
        <v>#REF!</v>
      </c>
      <c r="M95" s="454"/>
      <c r="N95" s="123" t="e">
        <f>IF(ISNA(MATCH(C95,#REF!,0)),"",INDEX(#REF!,MATCH(C95,#REF!,0)))</f>
        <v>#REF!</v>
      </c>
      <c r="O95" s="124" t="e">
        <f>SUMIF(#REF!,C95,#REF!)</f>
        <v>#REF!</v>
      </c>
      <c r="P95" s="124" t="s">
        <v>19</v>
      </c>
    </row>
    <row r="96" spans="1:16" s="13" customFormat="1" ht="26" x14ac:dyDescent="0.25">
      <c r="A96" s="39"/>
      <c r="B96" s="134"/>
      <c r="C96" s="201" t="s">
        <v>1295</v>
      </c>
      <c r="D96" s="182" t="s">
        <v>212</v>
      </c>
      <c r="E96" s="183" t="s">
        <v>977</v>
      </c>
      <c r="F96" s="316">
        <v>0.82294</v>
      </c>
      <c r="G96" s="207">
        <f t="shared" si="15"/>
        <v>6140.9337254234806</v>
      </c>
      <c r="H96" s="307">
        <f>639+43</f>
        <v>682</v>
      </c>
      <c r="I96" s="350"/>
      <c r="J96" s="350"/>
      <c r="K96" s="186">
        <f t="shared" si="16"/>
        <v>5053.619999999999</v>
      </c>
      <c r="L96" s="321" t="e">
        <f t="shared" si="17"/>
        <v>#REF!</v>
      </c>
      <c r="M96" s="454"/>
      <c r="N96" s="123" t="e">
        <f>IF(ISNA(MATCH(C96,#REF!,0)),"",INDEX(#REF!,MATCH(C96,#REF!,0)))</f>
        <v>#REF!</v>
      </c>
      <c r="O96" s="124" t="e">
        <f>SUMIF(#REF!,C96,#REF!)</f>
        <v>#REF!</v>
      </c>
      <c r="P96" s="124" t="s">
        <v>19</v>
      </c>
    </row>
    <row r="97" spans="1:16" s="13" customFormat="1" ht="39" x14ac:dyDescent="0.25">
      <c r="A97" s="39"/>
      <c r="B97" s="134"/>
      <c r="C97" s="201" t="s">
        <v>1296</v>
      </c>
      <c r="D97" s="58" t="s">
        <v>961</v>
      </c>
      <c r="E97" s="200" t="s">
        <v>977</v>
      </c>
      <c r="F97" s="316">
        <v>0.30859999999999999</v>
      </c>
      <c r="G97" s="207">
        <f t="shared" si="15"/>
        <v>3145.5281918340888</v>
      </c>
      <c r="H97" s="307">
        <f>55+76</f>
        <v>131</v>
      </c>
      <c r="I97" s="350"/>
      <c r="J97" s="350"/>
      <c r="K97" s="186">
        <f t="shared" si="16"/>
        <v>970.70999999999981</v>
      </c>
      <c r="L97" s="321" t="e">
        <f t="shared" si="17"/>
        <v>#REF!</v>
      </c>
      <c r="M97" s="454"/>
      <c r="N97" s="131" t="e">
        <f>IF(ISNA(MATCH(C97,#REF!,0)),"",INDEX(#REF!,MATCH(C97,#REF!,0)))</f>
        <v>#REF!</v>
      </c>
      <c r="O97" s="114" t="e">
        <f>SUMIF(#REF!,C97,#REF!)</f>
        <v>#REF!</v>
      </c>
      <c r="P97" s="114" t="s">
        <v>19</v>
      </c>
    </row>
    <row r="98" spans="1:16" s="13" customFormat="1" ht="52" x14ac:dyDescent="0.25">
      <c r="A98" s="39"/>
      <c r="B98" s="134"/>
      <c r="C98" s="201" t="s">
        <v>1297</v>
      </c>
      <c r="D98" s="188" t="s">
        <v>213</v>
      </c>
      <c r="E98" s="183" t="s">
        <v>969</v>
      </c>
      <c r="F98" s="316">
        <v>0.48199999999999998</v>
      </c>
      <c r="G98" s="207">
        <f t="shared" si="15"/>
        <v>126431.20331950206</v>
      </c>
      <c r="H98" s="307">
        <f>465+2009+5750</f>
        <v>8224</v>
      </c>
      <c r="I98" s="350"/>
      <c r="J98" s="350"/>
      <c r="K98" s="186">
        <f t="shared" si="16"/>
        <v>60939.839999999989</v>
      </c>
      <c r="L98" s="321" t="e">
        <f t="shared" si="17"/>
        <v>#REF!</v>
      </c>
      <c r="M98" s="454"/>
      <c r="N98" s="123" t="e">
        <f>IF(ISNA(MATCH(C98,#REF!,0)),"",INDEX(#REF!,MATCH(C98,#REF!,0)))</f>
        <v>#REF!</v>
      </c>
      <c r="O98" s="124" t="e">
        <f>SUMIF(#REF!,C98,#REF!)</f>
        <v>#REF!</v>
      </c>
      <c r="P98" s="124" t="s">
        <v>19</v>
      </c>
    </row>
    <row r="99" spans="1:16" s="13" customFormat="1" ht="39" x14ac:dyDescent="0.25">
      <c r="A99" s="39"/>
      <c r="B99" s="134"/>
      <c r="C99" s="201" t="s">
        <v>1295</v>
      </c>
      <c r="D99" s="188" t="s">
        <v>215</v>
      </c>
      <c r="E99" s="183" t="s">
        <v>969</v>
      </c>
      <c r="F99" s="316">
        <v>0.72599999999999998</v>
      </c>
      <c r="G99" s="207">
        <f t="shared" si="15"/>
        <v>125082.02479338842</v>
      </c>
      <c r="H99" s="307">
        <f>506+3025+8459+264+1</f>
        <v>12255</v>
      </c>
      <c r="I99" s="350"/>
      <c r="J99" s="350"/>
      <c r="K99" s="186">
        <f t="shared" si="16"/>
        <v>90809.549999999988</v>
      </c>
      <c r="L99" s="321" t="e">
        <f t="shared" si="17"/>
        <v>#REF!</v>
      </c>
      <c r="M99" s="454"/>
      <c r="N99" s="123" t="e">
        <f>IF(ISNA(MATCH(C99,#REF!,0)),"",INDEX(#REF!,MATCH(C99,#REF!,0)))</f>
        <v>#REF!</v>
      </c>
      <c r="O99" s="124" t="e">
        <f>SUMIF(#REF!,C99,#REF!)</f>
        <v>#REF!</v>
      </c>
      <c r="P99" s="124" t="s">
        <v>19</v>
      </c>
    </row>
    <row r="100" spans="1:16" s="13" customFormat="1" ht="26" x14ac:dyDescent="0.25">
      <c r="A100" s="39"/>
      <c r="B100" s="134"/>
      <c r="C100" s="201" t="s">
        <v>1296</v>
      </c>
      <c r="D100" s="221" t="s">
        <v>214</v>
      </c>
      <c r="E100" s="222" t="s">
        <v>977</v>
      </c>
      <c r="F100" s="316">
        <v>0.36427999999999999</v>
      </c>
      <c r="G100" s="207">
        <f t="shared" si="15"/>
        <v>5593.9112770396396</v>
      </c>
      <c r="H100" s="307">
        <v>275</v>
      </c>
      <c r="I100" s="350"/>
      <c r="J100" s="350"/>
      <c r="K100" s="186">
        <f t="shared" si="16"/>
        <v>2037.75</v>
      </c>
      <c r="L100" s="321" t="e">
        <f t="shared" si="17"/>
        <v>#REF!</v>
      </c>
      <c r="M100" s="454"/>
      <c r="N100" s="123" t="e">
        <f>IF(ISNA(MATCH(C100,#REF!,0)),"",INDEX(#REF!,MATCH(C100,#REF!,0)))</f>
        <v>#REF!</v>
      </c>
      <c r="O100" s="124" t="e">
        <f>SUMIF(#REF!,C100,#REF!)</f>
        <v>#REF!</v>
      </c>
      <c r="P100" s="124" t="s">
        <v>19</v>
      </c>
    </row>
    <row r="101" spans="1:16" s="13" customFormat="1" ht="26" x14ac:dyDescent="0.25">
      <c r="A101" s="62"/>
      <c r="B101" s="140"/>
      <c r="C101" s="201" t="s">
        <v>1297</v>
      </c>
      <c r="D101" s="58" t="s">
        <v>216</v>
      </c>
      <c r="E101" s="183" t="s">
        <v>977</v>
      </c>
      <c r="F101" s="316">
        <v>0.36427999999999999</v>
      </c>
      <c r="G101" s="207">
        <f t="shared" si="15"/>
        <v>13282.996596025036</v>
      </c>
      <c r="H101" s="307">
        <v>653</v>
      </c>
      <c r="I101" s="350"/>
      <c r="J101" s="350"/>
      <c r="K101" s="186">
        <f t="shared" si="16"/>
        <v>4838.7299999999996</v>
      </c>
      <c r="L101" s="321" t="e">
        <f t="shared" si="17"/>
        <v>#REF!</v>
      </c>
      <c r="M101" s="454"/>
      <c r="N101" s="123" t="e">
        <f>IF(ISNA(MATCH(C101,#REF!,0)),"",INDEX(#REF!,MATCH(C101,#REF!,0)))</f>
        <v>#REF!</v>
      </c>
      <c r="O101" s="124" t="e">
        <f>SUMIF(#REF!,C101,#REF!)</f>
        <v>#REF!</v>
      </c>
      <c r="P101" s="124" t="s">
        <v>19</v>
      </c>
    </row>
    <row r="102" spans="1:16" s="13" customFormat="1" ht="26" x14ac:dyDescent="0.25">
      <c r="A102" s="62"/>
      <c r="B102" s="140"/>
      <c r="C102" s="223" t="s">
        <v>1298</v>
      </c>
      <c r="D102" s="58" t="s">
        <v>217</v>
      </c>
      <c r="E102" s="183" t="s">
        <v>840</v>
      </c>
      <c r="F102" s="316">
        <v>0.79740599999999995</v>
      </c>
      <c r="G102" s="207">
        <f t="shared" si="15"/>
        <v>35581.485466625527</v>
      </c>
      <c r="H102" s="307">
        <f>1003+481+2345</f>
        <v>3829</v>
      </c>
      <c r="I102" s="350"/>
      <c r="J102" s="350"/>
      <c r="K102" s="186">
        <f t="shared" si="16"/>
        <v>28372.889999999996</v>
      </c>
      <c r="L102" s="321" t="e">
        <f t="shared" si="17"/>
        <v>#REF!</v>
      </c>
      <c r="M102" s="454"/>
      <c r="N102" s="123" t="e">
        <f>IF(ISNA(MATCH(C102,#REF!,0)),"",INDEX(#REF!,MATCH(C102,#REF!,0)))</f>
        <v>#REF!</v>
      </c>
      <c r="O102" s="124" t="e">
        <f>SUMIF(#REF!,C102,#REF!)</f>
        <v>#REF!</v>
      </c>
      <c r="P102" s="124" t="s">
        <v>19</v>
      </c>
    </row>
    <row r="103" spans="1:16" s="13" customFormat="1" ht="26" x14ac:dyDescent="0.25">
      <c r="A103" s="62"/>
      <c r="B103" s="140"/>
      <c r="C103" s="201" t="s">
        <v>1299</v>
      </c>
      <c r="D103" s="182" t="s">
        <v>218</v>
      </c>
      <c r="E103" s="190" t="s">
        <v>826</v>
      </c>
      <c r="F103" s="316">
        <v>0.24662000000000001</v>
      </c>
      <c r="G103" s="207">
        <f t="shared" si="15"/>
        <v>19019.260400616327</v>
      </c>
      <c r="H103" s="307">
        <f>476+157</f>
        <v>633</v>
      </c>
      <c r="I103" s="350"/>
      <c r="J103" s="350"/>
      <c r="K103" s="186">
        <f t="shared" si="16"/>
        <v>4690.5299999999988</v>
      </c>
      <c r="L103" s="321" t="e">
        <f t="shared" si="17"/>
        <v>#REF!</v>
      </c>
      <c r="M103" s="454"/>
      <c r="N103" s="319" t="e">
        <f>IF(ISNA(MATCH(C103,#REF!,0)),"",INDEX(#REF!,MATCH(C103,#REF!,0)))</f>
        <v>#REF!</v>
      </c>
      <c r="O103" s="113" t="e">
        <f>SUMIF(#REF!,C103,#REF!)</f>
        <v>#REF!</v>
      </c>
      <c r="P103" s="113" t="s">
        <v>19</v>
      </c>
    </row>
    <row r="104" spans="1:16" s="23" customFormat="1" x14ac:dyDescent="0.3">
      <c r="A104" s="51"/>
      <c r="B104" s="125"/>
      <c r="C104" s="286" t="s">
        <v>1300</v>
      </c>
      <c r="D104" s="287" t="s">
        <v>219</v>
      </c>
      <c r="E104" s="233"/>
      <c r="F104" s="234"/>
      <c r="G104" s="235"/>
      <c r="H104" s="301">
        <f>SUM(H105:H122)</f>
        <v>31668</v>
      </c>
      <c r="I104" s="301"/>
      <c r="J104" s="343"/>
      <c r="K104" s="236">
        <f>SUM(K105:K122)</f>
        <v>234659.88000000003</v>
      </c>
      <c r="L104" s="236" t="e">
        <f>SUM(L105:L122)</f>
        <v>#REF!</v>
      </c>
      <c r="M104" s="449"/>
      <c r="N104" s="126" t="e">
        <f>IF(ISNA(MATCH(C104,#REF!,0)),"",INDEX(#REF!,MATCH(C104,#REF!,0)))</f>
        <v>#REF!</v>
      </c>
      <c r="O104" s="127" t="e">
        <f>SUMIF(#REF!,C104,#REF!)</f>
        <v>#REF!</v>
      </c>
      <c r="P104" s="127" t="s">
        <v>19</v>
      </c>
    </row>
    <row r="105" spans="1:16" s="13" customFormat="1" ht="26" x14ac:dyDescent="0.25">
      <c r="A105" s="62"/>
      <c r="B105" s="134"/>
      <c r="C105" s="201" t="s">
        <v>1301</v>
      </c>
      <c r="D105" s="224" t="s">
        <v>84</v>
      </c>
      <c r="E105" s="200" t="s">
        <v>840</v>
      </c>
      <c r="F105" s="220">
        <v>0.24326999999999999</v>
      </c>
      <c r="G105" s="207">
        <f t="shared" ref="G105:G122" si="18">K105/F105</f>
        <v>36064.619558515231</v>
      </c>
      <c r="H105" s="307">
        <v>1184</v>
      </c>
      <c r="I105" s="350"/>
      <c r="J105" s="350"/>
      <c r="K105" s="186">
        <f t="shared" ref="K105:K122" si="19">H105*$C$4*$C$5</f>
        <v>8773.44</v>
      </c>
      <c r="L105" s="321" t="e">
        <f t="shared" ref="L105:L122" si="20">IF(N105="поставка Заказчика",N105,K105)</f>
        <v>#REF!</v>
      </c>
      <c r="M105" s="454"/>
      <c r="N105" s="131" t="e">
        <f>IF(ISNA(MATCH(C105,#REF!,0)),"",INDEX(#REF!,MATCH(C105,#REF!,0)))</f>
        <v>#REF!</v>
      </c>
      <c r="O105" s="114" t="e">
        <f>SUMIF(#REF!,C105,#REF!)</f>
        <v>#REF!</v>
      </c>
      <c r="P105" s="114" t="s">
        <v>19</v>
      </c>
    </row>
    <row r="106" spans="1:16" s="13" customFormat="1" ht="52" x14ac:dyDescent="0.25">
      <c r="A106" s="62"/>
      <c r="B106" s="134"/>
      <c r="C106" s="201" t="s">
        <v>1302</v>
      </c>
      <c r="D106" s="224" t="s">
        <v>85</v>
      </c>
      <c r="E106" s="200" t="s">
        <v>826</v>
      </c>
      <c r="F106" s="316">
        <v>7.5240000000000001E-2</v>
      </c>
      <c r="G106" s="207">
        <f t="shared" si="18"/>
        <v>28363.636363636364</v>
      </c>
      <c r="H106" s="307">
        <v>288</v>
      </c>
      <c r="I106" s="350"/>
      <c r="J106" s="350"/>
      <c r="K106" s="186">
        <f t="shared" si="19"/>
        <v>2134.08</v>
      </c>
      <c r="L106" s="321" t="e">
        <f t="shared" si="20"/>
        <v>#REF!</v>
      </c>
      <c r="M106" s="454"/>
      <c r="N106" s="131" t="e">
        <f>IF(ISNA(MATCH(C106,#REF!,0)),"",INDEX(#REF!,MATCH(C106,#REF!,0)))</f>
        <v>#REF!</v>
      </c>
      <c r="O106" s="114" t="e">
        <f>SUMIF(#REF!,C106,#REF!)</f>
        <v>#REF!</v>
      </c>
      <c r="P106" s="114" t="s">
        <v>19</v>
      </c>
    </row>
    <row r="107" spans="1:16" s="13" customFormat="1" ht="39" x14ac:dyDescent="0.25">
      <c r="A107" s="62"/>
      <c r="B107" s="134"/>
      <c r="C107" s="201" t="s">
        <v>1303</v>
      </c>
      <c r="D107" s="224" t="s">
        <v>839</v>
      </c>
      <c r="E107" s="200" t="s">
        <v>840</v>
      </c>
      <c r="F107" s="220">
        <v>0.25079400000000002</v>
      </c>
      <c r="G107" s="207">
        <f t="shared" si="18"/>
        <v>13295.77262613938</v>
      </c>
      <c r="H107" s="307">
        <v>450</v>
      </c>
      <c r="I107" s="350"/>
      <c r="J107" s="350"/>
      <c r="K107" s="186">
        <f t="shared" si="19"/>
        <v>3334.5</v>
      </c>
      <c r="L107" s="321" t="e">
        <f t="shared" si="20"/>
        <v>#REF!</v>
      </c>
      <c r="M107" s="454"/>
      <c r="N107" s="131" t="e">
        <f>IF(ISNA(MATCH(C107,#REF!,0)),"",INDEX(#REF!,MATCH(C107,#REF!,0)))</f>
        <v>#REF!</v>
      </c>
      <c r="O107" s="114" t="e">
        <f>SUMIF(#REF!,C107,#REF!)</f>
        <v>#REF!</v>
      </c>
      <c r="P107" s="114" t="s">
        <v>19</v>
      </c>
    </row>
    <row r="108" spans="1:16" s="13" customFormat="1" ht="39" x14ac:dyDescent="0.25">
      <c r="A108" s="62"/>
      <c r="B108" s="134"/>
      <c r="C108" s="201" t="s">
        <v>1304</v>
      </c>
      <c r="D108" s="224" t="s">
        <v>86</v>
      </c>
      <c r="E108" s="200" t="s">
        <v>969</v>
      </c>
      <c r="F108" s="316">
        <v>1.7210000000000001</v>
      </c>
      <c r="G108" s="207">
        <f t="shared" si="18"/>
        <v>11366.879721092386</v>
      </c>
      <c r="H108" s="307">
        <v>2640</v>
      </c>
      <c r="I108" s="350"/>
      <c r="J108" s="350"/>
      <c r="K108" s="186">
        <f t="shared" si="19"/>
        <v>19562.399999999998</v>
      </c>
      <c r="L108" s="321" t="e">
        <f t="shared" si="20"/>
        <v>#REF!</v>
      </c>
      <c r="M108" s="454"/>
      <c r="N108" s="131" t="e">
        <f>IF(ISNA(MATCH(C108,#REF!,0)),"",INDEX(#REF!,MATCH(C108,#REF!,0)))</f>
        <v>#REF!</v>
      </c>
      <c r="O108" s="114" t="e">
        <f>SUMIF(#REF!,C108,#REF!)</f>
        <v>#REF!</v>
      </c>
      <c r="P108" s="114" t="s">
        <v>19</v>
      </c>
    </row>
    <row r="109" spans="1:16" s="13" customFormat="1" ht="26" x14ac:dyDescent="0.25">
      <c r="A109" s="62"/>
      <c r="B109" s="134"/>
      <c r="C109" s="201" t="s">
        <v>1305</v>
      </c>
      <c r="D109" s="224" t="s">
        <v>87</v>
      </c>
      <c r="E109" s="200" t="s">
        <v>971</v>
      </c>
      <c r="F109" s="220">
        <v>40.4</v>
      </c>
      <c r="G109" s="207">
        <f t="shared" si="18"/>
        <v>2775.6319306930695</v>
      </c>
      <c r="H109" s="307">
        <v>15133</v>
      </c>
      <c r="I109" s="350"/>
      <c r="J109" s="350"/>
      <c r="K109" s="186">
        <f t="shared" si="19"/>
        <v>112135.53</v>
      </c>
      <c r="L109" s="321" t="e">
        <f t="shared" si="20"/>
        <v>#REF!</v>
      </c>
      <c r="M109" s="454"/>
      <c r="N109" s="131" t="e">
        <f>IF(ISNA(MATCH(C109,#REF!,0)),"",INDEX(#REF!,MATCH(C109,#REF!,0)))</f>
        <v>#REF!</v>
      </c>
      <c r="O109" s="114" t="e">
        <f>SUMIF(#REF!,C109,#REF!)</f>
        <v>#REF!</v>
      </c>
      <c r="P109" s="114" t="s">
        <v>19</v>
      </c>
    </row>
    <row r="110" spans="1:16" s="13" customFormat="1" ht="39" x14ac:dyDescent="0.25">
      <c r="A110" s="62"/>
      <c r="B110" s="134"/>
      <c r="C110" s="201" t="s">
        <v>1306</v>
      </c>
      <c r="D110" s="224" t="s">
        <v>88</v>
      </c>
      <c r="E110" s="200" t="s">
        <v>969</v>
      </c>
      <c r="F110" s="220">
        <v>0.05</v>
      </c>
      <c r="G110" s="207">
        <f t="shared" si="18"/>
        <v>89068.2</v>
      </c>
      <c r="H110" s="307">
        <v>601</v>
      </c>
      <c r="I110" s="350"/>
      <c r="J110" s="350"/>
      <c r="K110" s="186">
        <f t="shared" si="19"/>
        <v>4453.41</v>
      </c>
      <c r="L110" s="321" t="e">
        <f t="shared" si="20"/>
        <v>#REF!</v>
      </c>
      <c r="M110" s="454"/>
      <c r="N110" s="131" t="e">
        <f>IF(ISNA(MATCH(C110,#REF!,0)),"",INDEX(#REF!,MATCH(C110,#REF!,0)))</f>
        <v>#REF!</v>
      </c>
      <c r="O110" s="114" t="e">
        <f>SUMIF(#REF!,C110,#REF!)</f>
        <v>#REF!</v>
      </c>
      <c r="P110" s="114" t="s">
        <v>19</v>
      </c>
    </row>
    <row r="111" spans="1:16" s="13" customFormat="1" ht="39" x14ac:dyDescent="0.25">
      <c r="A111" s="62"/>
      <c r="B111" s="134"/>
      <c r="C111" s="201" t="s">
        <v>1307</v>
      </c>
      <c r="D111" s="59" t="s">
        <v>89</v>
      </c>
      <c r="E111" s="200" t="s">
        <v>969</v>
      </c>
      <c r="F111" s="316">
        <v>5.0999999999999997E-2</v>
      </c>
      <c r="G111" s="207">
        <f t="shared" si="18"/>
        <v>77151.176470588238</v>
      </c>
      <c r="H111" s="307">
        <f>79+452</f>
        <v>531</v>
      </c>
      <c r="I111" s="350"/>
      <c r="J111" s="350"/>
      <c r="K111" s="186">
        <f t="shared" si="19"/>
        <v>3934.7099999999996</v>
      </c>
      <c r="L111" s="321" t="e">
        <f t="shared" si="20"/>
        <v>#REF!</v>
      </c>
      <c r="M111" s="454"/>
      <c r="N111" s="131" t="e">
        <f>IF(ISNA(MATCH(C111,#REF!,0)),"",INDEX(#REF!,MATCH(C111,#REF!,0)))</f>
        <v>#REF!</v>
      </c>
      <c r="O111" s="114" t="e">
        <f>SUMIF(#REF!,C111,#REF!)</f>
        <v>#REF!</v>
      </c>
      <c r="P111" s="114" t="s">
        <v>19</v>
      </c>
    </row>
    <row r="112" spans="1:16" s="13" customFormat="1" ht="39" x14ac:dyDescent="0.25">
      <c r="A112" s="62"/>
      <c r="B112" s="134"/>
      <c r="C112" s="201" t="s">
        <v>1308</v>
      </c>
      <c r="D112" s="225" t="s">
        <v>90</v>
      </c>
      <c r="E112" s="200" t="s">
        <v>969</v>
      </c>
      <c r="F112" s="220">
        <v>0.05</v>
      </c>
      <c r="G112" s="207">
        <f t="shared" si="18"/>
        <v>100479.59999999999</v>
      </c>
      <c r="H112" s="307">
        <v>678</v>
      </c>
      <c r="I112" s="350"/>
      <c r="J112" s="350"/>
      <c r="K112" s="186">
        <f t="shared" si="19"/>
        <v>5023.9799999999996</v>
      </c>
      <c r="L112" s="321" t="e">
        <f t="shared" si="20"/>
        <v>#REF!</v>
      </c>
      <c r="M112" s="454"/>
      <c r="N112" s="131" t="e">
        <f>IF(ISNA(MATCH(C112,#REF!,0)),"",INDEX(#REF!,MATCH(C112,#REF!,0)))</f>
        <v>#REF!</v>
      </c>
      <c r="O112" s="114" t="e">
        <f>SUMIF(#REF!,C112,#REF!)</f>
        <v>#REF!</v>
      </c>
      <c r="P112" s="114" t="s">
        <v>19</v>
      </c>
    </row>
    <row r="113" spans="1:16" s="13" customFormat="1" ht="52" x14ac:dyDescent="0.25">
      <c r="A113" s="62"/>
      <c r="B113" s="134"/>
      <c r="C113" s="201" t="s">
        <v>1309</v>
      </c>
      <c r="D113" s="226" t="s">
        <v>211</v>
      </c>
      <c r="E113" s="219" t="s">
        <v>826</v>
      </c>
      <c r="F113" s="316">
        <v>1.9099999999999999E-2</v>
      </c>
      <c r="G113" s="207">
        <f t="shared" si="18"/>
        <v>1267847.120418848</v>
      </c>
      <c r="H113" s="307">
        <f>1178+817+608+664+1</f>
        <v>3268</v>
      </c>
      <c r="I113" s="350"/>
      <c r="J113" s="350"/>
      <c r="K113" s="186">
        <f t="shared" si="19"/>
        <v>24215.879999999997</v>
      </c>
      <c r="L113" s="321" t="e">
        <f t="shared" si="20"/>
        <v>#REF!</v>
      </c>
      <c r="M113" s="454"/>
      <c r="N113" s="138" t="e">
        <f>IF(ISNA(MATCH(C113,#REF!,0)),"",INDEX(#REF!,MATCH(C113,#REF!,0)))</f>
        <v>#REF!</v>
      </c>
      <c r="O113" s="139" t="e">
        <f>SUMIF(#REF!,C113,#REF!)</f>
        <v>#REF!</v>
      </c>
      <c r="P113" s="139" t="s">
        <v>19</v>
      </c>
    </row>
    <row r="114" spans="1:16" s="13" customFormat="1" ht="26" x14ac:dyDescent="0.25">
      <c r="A114" s="62"/>
      <c r="B114" s="134"/>
      <c r="C114" s="201" t="s">
        <v>1310</v>
      </c>
      <c r="D114" s="227" t="s">
        <v>829</v>
      </c>
      <c r="E114" s="183" t="s">
        <v>720</v>
      </c>
      <c r="F114" s="316">
        <v>27.431000000000001</v>
      </c>
      <c r="G114" s="207">
        <f t="shared" si="18"/>
        <v>236.36579052896354</v>
      </c>
      <c r="H114" s="307">
        <f>647+80+148</f>
        <v>875</v>
      </c>
      <c r="I114" s="350"/>
      <c r="J114" s="350"/>
      <c r="K114" s="186">
        <f t="shared" si="19"/>
        <v>6483.7499999999991</v>
      </c>
      <c r="L114" s="321" t="e">
        <f t="shared" si="20"/>
        <v>#REF!</v>
      </c>
      <c r="M114" s="454"/>
      <c r="N114" s="123" t="e">
        <f>IF(ISNA(MATCH(C114,#REF!,0)),"",INDEX(#REF!,MATCH(C114,#REF!,0)))</f>
        <v>#REF!</v>
      </c>
      <c r="O114" s="124" t="e">
        <f>SUMIF(#REF!,C114,#REF!)</f>
        <v>#REF!</v>
      </c>
      <c r="P114" s="124" t="s">
        <v>19</v>
      </c>
    </row>
    <row r="115" spans="1:16" s="13" customFormat="1" ht="26" x14ac:dyDescent="0.25">
      <c r="A115" s="62"/>
      <c r="B115" s="134"/>
      <c r="C115" s="201" t="s">
        <v>1311</v>
      </c>
      <c r="D115" s="228" t="s">
        <v>212</v>
      </c>
      <c r="E115" s="183" t="s">
        <v>977</v>
      </c>
      <c r="F115" s="316">
        <v>0.27431</v>
      </c>
      <c r="G115" s="207">
        <f t="shared" si="18"/>
        <v>6159.0171703547076</v>
      </c>
      <c r="H115" s="307">
        <f>213+15</f>
        <v>228</v>
      </c>
      <c r="I115" s="350"/>
      <c r="J115" s="350"/>
      <c r="K115" s="186">
        <f t="shared" si="19"/>
        <v>1689.4799999999998</v>
      </c>
      <c r="L115" s="321" t="e">
        <f t="shared" si="20"/>
        <v>#REF!</v>
      </c>
      <c r="M115" s="454"/>
      <c r="N115" s="123" t="e">
        <f>IF(ISNA(MATCH(C115,#REF!,0)),"",INDEX(#REF!,MATCH(C115,#REF!,0)))</f>
        <v>#REF!</v>
      </c>
      <c r="O115" s="124" t="e">
        <f>SUMIF(#REF!,C115,#REF!)</f>
        <v>#REF!</v>
      </c>
      <c r="P115" s="124" t="s">
        <v>19</v>
      </c>
    </row>
    <row r="116" spans="1:16" s="13" customFormat="1" ht="39" x14ac:dyDescent="0.25">
      <c r="A116" s="62"/>
      <c r="B116" s="134"/>
      <c r="C116" s="201" t="s">
        <v>1312</v>
      </c>
      <c r="D116" s="229" t="s">
        <v>961</v>
      </c>
      <c r="E116" s="230" t="s">
        <v>977</v>
      </c>
      <c r="F116" s="316">
        <v>0.10287</v>
      </c>
      <c r="G116" s="207">
        <f t="shared" si="18"/>
        <v>2737.2411781860592</v>
      </c>
      <c r="H116" s="307">
        <f>19+19</f>
        <v>38</v>
      </c>
      <c r="I116" s="350"/>
      <c r="J116" s="350"/>
      <c r="K116" s="186">
        <f t="shared" si="19"/>
        <v>281.57999999999993</v>
      </c>
      <c r="L116" s="321" t="e">
        <f t="shared" si="20"/>
        <v>#REF!</v>
      </c>
      <c r="M116" s="454"/>
      <c r="N116" s="131" t="e">
        <f>IF(ISNA(MATCH(C116,#REF!,0)),"",INDEX(#REF!,MATCH(C116,#REF!,0)))</f>
        <v>#REF!</v>
      </c>
      <c r="O116" s="114" t="e">
        <f>SUMIF(#REF!,C116,#REF!)</f>
        <v>#REF!</v>
      </c>
      <c r="P116" s="114" t="s">
        <v>19</v>
      </c>
    </row>
    <row r="117" spans="1:16" s="13" customFormat="1" ht="52" x14ac:dyDescent="0.25">
      <c r="A117" s="62"/>
      <c r="B117" s="134"/>
      <c r="C117" s="201" t="s">
        <v>1313</v>
      </c>
      <c r="D117" s="188" t="s">
        <v>213</v>
      </c>
      <c r="E117" s="183" t="s">
        <v>969</v>
      </c>
      <c r="F117" s="316">
        <v>0.08</v>
      </c>
      <c r="G117" s="207">
        <f t="shared" si="18"/>
        <v>81509.999999999985</v>
      </c>
      <c r="H117" s="307">
        <f>77+803</f>
        <v>880</v>
      </c>
      <c r="I117" s="350"/>
      <c r="J117" s="350"/>
      <c r="K117" s="186">
        <f t="shared" si="19"/>
        <v>6520.7999999999993</v>
      </c>
      <c r="L117" s="321" t="e">
        <f t="shared" si="20"/>
        <v>#REF!</v>
      </c>
      <c r="M117" s="454"/>
      <c r="N117" s="123" t="e">
        <f>IF(ISNA(MATCH(C117,#REF!,0)),"",INDEX(#REF!,MATCH(C117,#REF!,0)))</f>
        <v>#REF!</v>
      </c>
      <c r="O117" s="124" t="e">
        <f>SUMIF(#REF!,C117,#REF!)</f>
        <v>#REF!</v>
      </c>
      <c r="P117" s="124" t="s">
        <v>19</v>
      </c>
    </row>
    <row r="118" spans="1:16" s="13" customFormat="1" ht="26" x14ac:dyDescent="0.25">
      <c r="A118" s="62"/>
      <c r="B118" s="134"/>
      <c r="C118" s="201" t="s">
        <v>1314</v>
      </c>
      <c r="D118" s="182" t="s">
        <v>221</v>
      </c>
      <c r="E118" s="183" t="s">
        <v>969</v>
      </c>
      <c r="F118" s="316">
        <v>0.108</v>
      </c>
      <c r="G118" s="207">
        <f t="shared" si="18"/>
        <v>233895.27777777778</v>
      </c>
      <c r="H118" s="307">
        <f>954+75+1082+1250+48</f>
        <v>3409</v>
      </c>
      <c r="I118" s="350"/>
      <c r="J118" s="350"/>
      <c r="K118" s="186">
        <f t="shared" si="19"/>
        <v>25260.69</v>
      </c>
      <c r="L118" s="321" t="e">
        <f t="shared" si="20"/>
        <v>#REF!</v>
      </c>
      <c r="M118" s="454"/>
      <c r="N118" s="123" t="e">
        <f>IF(ISNA(MATCH(C118,#REF!,0)),"",INDEX(#REF!,MATCH(C118,#REF!,0)))</f>
        <v>#REF!</v>
      </c>
      <c r="O118" s="124" t="e">
        <f>SUMIF(#REF!,C118,#REF!)</f>
        <v>#REF!</v>
      </c>
      <c r="P118" s="124" t="s">
        <v>19</v>
      </c>
    </row>
    <row r="119" spans="1:16" s="13" customFormat="1" ht="26" x14ac:dyDescent="0.25">
      <c r="A119" s="62"/>
      <c r="B119" s="134"/>
      <c r="C119" s="201" t="s">
        <v>1315</v>
      </c>
      <c r="D119" s="221" t="s">
        <v>214</v>
      </c>
      <c r="E119" s="183" t="s">
        <v>977</v>
      </c>
      <c r="F119" s="316">
        <v>5.74E-2</v>
      </c>
      <c r="G119" s="207">
        <f t="shared" si="18"/>
        <v>5551.0452961672472</v>
      </c>
      <c r="H119" s="307">
        <v>43</v>
      </c>
      <c r="I119" s="350"/>
      <c r="J119" s="350"/>
      <c r="K119" s="186">
        <f t="shared" si="19"/>
        <v>318.63</v>
      </c>
      <c r="L119" s="321" t="e">
        <f t="shared" si="20"/>
        <v>#REF!</v>
      </c>
      <c r="M119" s="454"/>
      <c r="N119" s="123" t="e">
        <f>IF(ISNA(MATCH(C119,#REF!,0)),"",INDEX(#REF!,MATCH(C119,#REF!,0)))</f>
        <v>#REF!</v>
      </c>
      <c r="O119" s="124" t="e">
        <f>SUMIF(#REF!,C119,#REF!)</f>
        <v>#REF!</v>
      </c>
      <c r="P119" s="124" t="s">
        <v>19</v>
      </c>
    </row>
    <row r="120" spans="1:16" s="13" customFormat="1" ht="26" x14ac:dyDescent="0.25">
      <c r="A120" s="62"/>
      <c r="B120" s="134"/>
      <c r="C120" s="201" t="s">
        <v>1316</v>
      </c>
      <c r="D120" s="221" t="s">
        <v>216</v>
      </c>
      <c r="E120" s="231" t="s">
        <v>977</v>
      </c>
      <c r="F120" s="316">
        <v>5.74E-2</v>
      </c>
      <c r="G120" s="207">
        <f t="shared" si="18"/>
        <v>13296.689895470381</v>
      </c>
      <c r="H120" s="307">
        <v>103</v>
      </c>
      <c r="I120" s="350"/>
      <c r="J120" s="350"/>
      <c r="K120" s="186">
        <f t="shared" si="19"/>
        <v>763.2299999999999</v>
      </c>
      <c r="L120" s="321" t="e">
        <f t="shared" si="20"/>
        <v>#REF!</v>
      </c>
      <c r="M120" s="454"/>
      <c r="N120" s="123" t="e">
        <f>IF(ISNA(MATCH(C120,#REF!,0)),"",INDEX(#REF!,MATCH(C120,#REF!,0)))</f>
        <v>#REF!</v>
      </c>
      <c r="O120" s="124" t="e">
        <f>SUMIF(#REF!,C120,#REF!)</f>
        <v>#REF!</v>
      </c>
      <c r="P120" s="124" t="s">
        <v>19</v>
      </c>
    </row>
    <row r="121" spans="1:16" s="13" customFormat="1" ht="26" x14ac:dyDescent="0.25">
      <c r="A121" s="62"/>
      <c r="B121" s="134"/>
      <c r="C121" s="201" t="s">
        <v>1317</v>
      </c>
      <c r="D121" s="58" t="s">
        <v>217</v>
      </c>
      <c r="E121" s="183" t="s">
        <v>840</v>
      </c>
      <c r="F121" s="316">
        <v>0.23551</v>
      </c>
      <c r="G121" s="207">
        <f t="shared" si="18"/>
        <v>35616.831557046404</v>
      </c>
      <c r="H121" s="307">
        <f>297+142+693</f>
        <v>1132</v>
      </c>
      <c r="I121" s="350"/>
      <c r="J121" s="350"/>
      <c r="K121" s="186">
        <f t="shared" si="19"/>
        <v>8388.119999999999</v>
      </c>
      <c r="L121" s="321" t="e">
        <f t="shared" si="20"/>
        <v>#REF!</v>
      </c>
      <c r="M121" s="454"/>
      <c r="N121" s="123" t="e">
        <f>IF(ISNA(MATCH(C121,#REF!,0)),"",INDEX(#REF!,MATCH(C121,#REF!,0)))</f>
        <v>#REF!</v>
      </c>
      <c r="O121" s="124" t="e">
        <f>SUMIF(#REF!,C121,#REF!)</f>
        <v>#REF!</v>
      </c>
      <c r="P121" s="124" t="s">
        <v>19</v>
      </c>
    </row>
    <row r="122" spans="1:16" s="13" customFormat="1" ht="26" x14ac:dyDescent="0.25">
      <c r="A122" s="62"/>
      <c r="B122" s="134"/>
      <c r="C122" s="201" t="s">
        <v>1318</v>
      </c>
      <c r="D122" s="182" t="s">
        <v>218</v>
      </c>
      <c r="E122" s="189" t="s">
        <v>826</v>
      </c>
      <c r="F122" s="316">
        <v>7.2840000000000002E-2</v>
      </c>
      <c r="G122" s="207">
        <f t="shared" si="18"/>
        <v>19023.476112026357</v>
      </c>
      <c r="H122" s="307">
        <f>141+46</f>
        <v>187</v>
      </c>
      <c r="I122" s="350"/>
      <c r="J122" s="350"/>
      <c r="K122" s="186">
        <f t="shared" si="19"/>
        <v>1385.6699999999998</v>
      </c>
      <c r="L122" s="321" t="e">
        <f t="shared" si="20"/>
        <v>#REF!</v>
      </c>
      <c r="M122" s="454"/>
      <c r="N122" s="319" t="e">
        <f>IF(ISNA(MATCH(C122,#REF!,0)),"",INDEX(#REF!,MATCH(C122,#REF!,0)))</f>
        <v>#REF!</v>
      </c>
      <c r="O122" s="113" t="e">
        <f>SUMIF(#REF!,C122,#REF!)</f>
        <v>#REF!</v>
      </c>
      <c r="P122" s="113" t="s">
        <v>19</v>
      </c>
    </row>
    <row r="123" spans="1:16" s="23" customFormat="1" x14ac:dyDescent="0.3">
      <c r="A123" s="51"/>
      <c r="B123" s="125"/>
      <c r="C123" s="286" t="s">
        <v>1319</v>
      </c>
      <c r="D123" s="287" t="s">
        <v>222</v>
      </c>
      <c r="E123" s="233"/>
      <c r="F123" s="234"/>
      <c r="G123" s="235"/>
      <c r="H123" s="301">
        <f>SUM(H124:H129)</f>
        <v>3689</v>
      </c>
      <c r="I123" s="301"/>
      <c r="J123" s="343"/>
      <c r="K123" s="236">
        <f>SUM(K124:K129)</f>
        <v>27335.489999999994</v>
      </c>
      <c r="L123" s="236" t="e">
        <f>SUM(L124:L129)</f>
        <v>#REF!</v>
      </c>
      <c r="M123" s="449"/>
      <c r="N123" s="126" t="e">
        <f>IF(ISNA(MATCH(C123,#REF!,0)),"",INDEX(#REF!,MATCH(C123,#REF!,0)))</f>
        <v>#REF!</v>
      </c>
      <c r="O123" s="127" t="e">
        <f>SUMIF(#REF!,C123,#REF!)</f>
        <v>#REF!</v>
      </c>
      <c r="P123" s="127" t="s">
        <v>19</v>
      </c>
    </row>
    <row r="124" spans="1:16" s="13" customFormat="1" ht="26" x14ac:dyDescent="0.25">
      <c r="A124" s="62"/>
      <c r="B124" s="134"/>
      <c r="C124" s="201" t="s">
        <v>1301</v>
      </c>
      <c r="D124" s="58" t="s">
        <v>223</v>
      </c>
      <c r="E124" s="183" t="s">
        <v>224</v>
      </c>
      <c r="F124" s="220">
        <v>0.03</v>
      </c>
      <c r="G124" s="207">
        <f t="shared" ref="G124:G129" si="21">K124/F124</f>
        <v>33592</v>
      </c>
      <c r="H124" s="307">
        <v>136</v>
      </c>
      <c r="I124" s="350"/>
      <c r="J124" s="350"/>
      <c r="K124" s="186">
        <f t="shared" ref="K124:K129" si="22">H124*$C$4*$C$5</f>
        <v>1007.76</v>
      </c>
      <c r="L124" s="321" t="e">
        <f t="shared" ref="L124:L129" si="23">IF(N124="поставка Заказчика",N124,K124)</f>
        <v>#REF!</v>
      </c>
      <c r="M124" s="454"/>
      <c r="N124" s="123" t="e">
        <f>IF(ISNA(MATCH(C124,#REF!,0)),"",INDEX(#REF!,MATCH(C124,#REF!,0)))</f>
        <v>#REF!</v>
      </c>
      <c r="O124" s="124" t="e">
        <f>SUMIF(#REF!,C124,#REF!)</f>
        <v>#REF!</v>
      </c>
      <c r="P124" s="124" t="s">
        <v>19</v>
      </c>
    </row>
    <row r="125" spans="1:16" s="13" customFormat="1" ht="26" x14ac:dyDescent="0.25">
      <c r="A125" s="62"/>
      <c r="B125" s="134"/>
      <c r="C125" s="201" t="s">
        <v>1302</v>
      </c>
      <c r="D125" s="58" t="s">
        <v>225</v>
      </c>
      <c r="E125" s="190" t="s">
        <v>969</v>
      </c>
      <c r="F125" s="316">
        <v>0.249</v>
      </c>
      <c r="G125" s="207">
        <f t="shared" si="21"/>
        <v>92788.674698795177</v>
      </c>
      <c r="H125" s="307">
        <f>176+1021+1108+553+33+226+1</f>
        <v>3118</v>
      </c>
      <c r="I125" s="350"/>
      <c r="J125" s="350"/>
      <c r="K125" s="186">
        <f t="shared" si="22"/>
        <v>23104.379999999997</v>
      </c>
      <c r="L125" s="321" t="e">
        <f t="shared" si="23"/>
        <v>#REF!</v>
      </c>
      <c r="M125" s="454"/>
      <c r="N125" s="319" t="e">
        <f>IF(ISNA(MATCH(C125,#REF!,0)),"",INDEX(#REF!,MATCH(C125,#REF!,0)))</f>
        <v>#REF!</v>
      </c>
      <c r="O125" s="113" t="e">
        <f>SUMIF(#REF!,C125,#REF!)</f>
        <v>#REF!</v>
      </c>
      <c r="P125" s="113" t="s">
        <v>19</v>
      </c>
    </row>
    <row r="126" spans="1:16" s="13" customFormat="1" ht="39" x14ac:dyDescent="0.25">
      <c r="A126" s="62"/>
      <c r="B126" s="134"/>
      <c r="C126" s="201" t="s">
        <v>1303</v>
      </c>
      <c r="D126" s="226" t="s">
        <v>1166</v>
      </c>
      <c r="E126" s="183" t="s">
        <v>826</v>
      </c>
      <c r="F126" s="316">
        <v>1.98E-3</v>
      </c>
      <c r="G126" s="207">
        <f t="shared" si="21"/>
        <v>901924.24242424231</v>
      </c>
      <c r="H126" s="307">
        <f>22+103+32+48+36</f>
        <v>241</v>
      </c>
      <c r="I126" s="350"/>
      <c r="J126" s="350"/>
      <c r="K126" s="186">
        <f t="shared" si="22"/>
        <v>1785.8099999999997</v>
      </c>
      <c r="L126" s="321" t="e">
        <f t="shared" si="23"/>
        <v>#REF!</v>
      </c>
      <c r="M126" s="454"/>
      <c r="N126" s="123" t="e">
        <f>IF(ISNA(MATCH(C126,#REF!,0)),"",INDEX(#REF!,MATCH(C126,#REF!,0)))</f>
        <v>#REF!</v>
      </c>
      <c r="O126" s="124" t="e">
        <f>SUMIF(#REF!,C126,#REF!)</f>
        <v>#REF!</v>
      </c>
      <c r="P126" s="124" t="s">
        <v>19</v>
      </c>
    </row>
    <row r="127" spans="1:16" s="13" customFormat="1" ht="26" x14ac:dyDescent="0.25">
      <c r="A127" s="62"/>
      <c r="B127" s="134"/>
      <c r="C127" s="201" t="s">
        <v>1304</v>
      </c>
      <c r="D127" s="227" t="s">
        <v>829</v>
      </c>
      <c r="E127" s="183" t="s">
        <v>720</v>
      </c>
      <c r="F127" s="316">
        <v>3.411</v>
      </c>
      <c r="G127" s="207">
        <f t="shared" si="21"/>
        <v>234.61741424802111</v>
      </c>
      <c r="H127" s="307">
        <f>81+9+18</f>
        <v>108</v>
      </c>
      <c r="I127" s="350"/>
      <c r="J127" s="350"/>
      <c r="K127" s="186">
        <f t="shared" si="22"/>
        <v>800.28</v>
      </c>
      <c r="L127" s="321" t="e">
        <f t="shared" si="23"/>
        <v>#REF!</v>
      </c>
      <c r="M127" s="454"/>
      <c r="N127" s="123" t="e">
        <f>IF(ISNA(MATCH(C127,#REF!,0)),"",INDEX(#REF!,MATCH(C127,#REF!,0)))</f>
        <v>#REF!</v>
      </c>
      <c r="O127" s="124" t="e">
        <f>SUMIF(#REF!,C127,#REF!)</f>
        <v>#REF!</v>
      </c>
      <c r="P127" s="124" t="s">
        <v>19</v>
      </c>
    </row>
    <row r="128" spans="1:16" s="13" customFormat="1" ht="26" x14ac:dyDescent="0.25">
      <c r="A128" s="62"/>
      <c r="B128" s="134"/>
      <c r="C128" s="201" t="s">
        <v>1305</v>
      </c>
      <c r="D128" s="221" t="s">
        <v>214</v>
      </c>
      <c r="E128" s="183" t="s">
        <v>977</v>
      </c>
      <c r="F128" s="316">
        <v>3.4110000000000001E-2</v>
      </c>
      <c r="G128" s="207">
        <f t="shared" si="21"/>
        <v>5430.9586631486354</v>
      </c>
      <c r="H128" s="307">
        <v>25</v>
      </c>
      <c r="I128" s="350"/>
      <c r="J128" s="350"/>
      <c r="K128" s="186">
        <f t="shared" si="22"/>
        <v>185.24999999999997</v>
      </c>
      <c r="L128" s="321" t="e">
        <f t="shared" si="23"/>
        <v>#REF!</v>
      </c>
      <c r="M128" s="454"/>
      <c r="N128" s="123" t="e">
        <f>IF(ISNA(MATCH(C128,#REF!,0)),"",INDEX(#REF!,MATCH(C128,#REF!,0)))</f>
        <v>#REF!</v>
      </c>
      <c r="O128" s="124" t="e">
        <f>SUMIF(#REF!,C128,#REF!)</f>
        <v>#REF!</v>
      </c>
      <c r="P128" s="124" t="s">
        <v>19</v>
      </c>
    </row>
    <row r="129" spans="1:16" s="13" customFormat="1" ht="26" x14ac:dyDescent="0.25">
      <c r="A129" s="62"/>
      <c r="B129" s="141"/>
      <c r="C129" s="201" t="s">
        <v>1306</v>
      </c>
      <c r="D129" s="221" t="s">
        <v>216</v>
      </c>
      <c r="E129" s="231" t="s">
        <v>977</v>
      </c>
      <c r="F129" s="316">
        <v>3.4110000000000001E-2</v>
      </c>
      <c r="G129" s="207">
        <f t="shared" si="21"/>
        <v>13251.539138082671</v>
      </c>
      <c r="H129" s="307">
        <v>61</v>
      </c>
      <c r="I129" s="350"/>
      <c r="J129" s="350"/>
      <c r="K129" s="186">
        <f t="shared" si="22"/>
        <v>452.00999999999993</v>
      </c>
      <c r="L129" s="321" t="e">
        <f t="shared" si="23"/>
        <v>#REF!</v>
      </c>
      <c r="M129" s="454"/>
      <c r="N129" s="123" t="e">
        <f>IF(ISNA(MATCH(C129,#REF!,0)),"",INDEX(#REF!,MATCH(C129,#REF!,0)))</f>
        <v>#REF!</v>
      </c>
      <c r="O129" s="124" t="e">
        <f>SUMIF(#REF!,C129,#REF!)</f>
        <v>#REF!</v>
      </c>
      <c r="P129" s="124" t="s">
        <v>19</v>
      </c>
    </row>
    <row r="130" spans="1:16" s="23" customFormat="1" x14ac:dyDescent="0.3">
      <c r="A130" s="51"/>
      <c r="B130" s="125"/>
      <c r="C130" s="286" t="s">
        <v>1320</v>
      </c>
      <c r="D130" s="287" t="s">
        <v>1167</v>
      </c>
      <c r="E130" s="233"/>
      <c r="F130" s="234"/>
      <c r="G130" s="235"/>
      <c r="H130" s="301">
        <f>SUM(H131:H136)</f>
        <v>76032</v>
      </c>
      <c r="I130" s="343"/>
      <c r="J130" s="343"/>
      <c r="K130" s="236">
        <f>SUM(K131:K136)</f>
        <v>563397.11999999988</v>
      </c>
      <c r="L130" s="236" t="e">
        <f>SUM(L131:L136)</f>
        <v>#REF!</v>
      </c>
      <c r="M130" s="449"/>
      <c r="N130" s="126" t="e">
        <f>IF(ISNA(MATCH(C130,#REF!,0)),"",INDEX(#REF!,MATCH(C130,#REF!,0)))</f>
        <v>#REF!</v>
      </c>
      <c r="O130" s="127" t="e">
        <f>SUMIF(#REF!,C130,#REF!)</f>
        <v>#REF!</v>
      </c>
      <c r="P130" s="127" t="s">
        <v>19</v>
      </c>
    </row>
    <row r="131" spans="1:16" s="64" customFormat="1" ht="39" x14ac:dyDescent="0.25">
      <c r="A131" s="62"/>
      <c r="B131" s="132"/>
      <c r="C131" s="201" t="s">
        <v>1321</v>
      </c>
      <c r="D131" s="168" t="s">
        <v>1168</v>
      </c>
      <c r="E131" s="200" t="s">
        <v>969</v>
      </c>
      <c r="F131" s="202">
        <v>1.5449999999999999</v>
      </c>
      <c r="G131" s="207">
        <f t="shared" ref="G131:G136" si="24">K131/F131</f>
        <v>120900.50485436893</v>
      </c>
      <c r="H131" s="307">
        <f>2439+6111+5360+1518+9633+33+16+98</f>
        <v>25208</v>
      </c>
      <c r="I131" s="350"/>
      <c r="J131" s="350"/>
      <c r="K131" s="186">
        <f t="shared" ref="K131:K136" si="25">H131*$C$4*$C$5</f>
        <v>186791.28</v>
      </c>
      <c r="L131" s="321" t="e">
        <f t="shared" ref="L131:L136" si="26">IF(N131="поставка Заказчика",N131,K131)</f>
        <v>#REF!</v>
      </c>
      <c r="M131" s="456"/>
      <c r="N131" s="131" t="e">
        <f>IF(ISNA(MATCH(C131,#REF!,0)),"",INDEX(#REF!,MATCH(C131,#REF!,0)))</f>
        <v>#REF!</v>
      </c>
      <c r="O131" s="114" t="e">
        <f>SUMIF(#REF!,C131,#REF!)</f>
        <v>#REF!</v>
      </c>
      <c r="P131" s="114" t="s">
        <v>19</v>
      </c>
    </row>
    <row r="132" spans="1:16" s="64" customFormat="1" ht="26" x14ac:dyDescent="0.25">
      <c r="A132" s="62"/>
      <c r="B132" s="132"/>
      <c r="C132" s="201" t="s">
        <v>1322</v>
      </c>
      <c r="D132" s="168" t="s">
        <v>1169</v>
      </c>
      <c r="E132" s="200" t="s">
        <v>969</v>
      </c>
      <c r="F132" s="316">
        <v>0.28799999999999998</v>
      </c>
      <c r="G132" s="207">
        <f t="shared" si="24"/>
        <v>224101.04166666669</v>
      </c>
      <c r="H132" s="307">
        <f>-5+3739+4976</f>
        <v>8710</v>
      </c>
      <c r="I132" s="350"/>
      <c r="J132" s="350"/>
      <c r="K132" s="186">
        <f t="shared" si="25"/>
        <v>64541.1</v>
      </c>
      <c r="L132" s="321" t="e">
        <f t="shared" si="26"/>
        <v>#REF!</v>
      </c>
      <c r="M132" s="456"/>
      <c r="N132" s="131" t="e">
        <f>IF(ISNA(MATCH(C132,#REF!,0)),"",INDEX(#REF!,MATCH(C132,#REF!,0)))</f>
        <v>#REF!</v>
      </c>
      <c r="O132" s="114" t="e">
        <f>SUMIF(#REF!,C132,#REF!)</f>
        <v>#REF!</v>
      </c>
      <c r="P132" s="114" t="s">
        <v>19</v>
      </c>
    </row>
    <row r="133" spans="1:16" s="64" customFormat="1" ht="26" x14ac:dyDescent="0.25">
      <c r="A133" s="62"/>
      <c r="B133" s="132"/>
      <c r="C133" s="201" t="s">
        <v>1323</v>
      </c>
      <c r="D133" s="227" t="s">
        <v>829</v>
      </c>
      <c r="E133" s="200" t="s">
        <v>977</v>
      </c>
      <c r="F133" s="316">
        <v>1.9390000000000001</v>
      </c>
      <c r="G133" s="207">
        <f t="shared" si="24"/>
        <v>23663.084063950486</v>
      </c>
      <c r="H133" s="307">
        <f>4576+565+1051</f>
        <v>6192</v>
      </c>
      <c r="I133" s="350"/>
      <c r="J133" s="350"/>
      <c r="K133" s="186">
        <f t="shared" si="25"/>
        <v>45882.719999999994</v>
      </c>
      <c r="L133" s="321" t="e">
        <f t="shared" si="26"/>
        <v>#REF!</v>
      </c>
      <c r="M133" s="456"/>
      <c r="N133" s="131" t="e">
        <f>IF(ISNA(MATCH(C133,#REF!,0)),"",INDEX(#REF!,MATCH(C133,#REF!,0)))</f>
        <v>#REF!</v>
      </c>
      <c r="O133" s="114" t="e">
        <f>SUMIF(#REF!,C133,#REF!)</f>
        <v>#REF!</v>
      </c>
      <c r="P133" s="114" t="s">
        <v>19</v>
      </c>
    </row>
    <row r="134" spans="1:16" s="64" customFormat="1" ht="26" x14ac:dyDescent="0.25">
      <c r="A134" s="62"/>
      <c r="B134" s="132"/>
      <c r="C134" s="201" t="s">
        <v>1324</v>
      </c>
      <c r="D134" s="188" t="s">
        <v>832</v>
      </c>
      <c r="E134" s="183" t="s">
        <v>977</v>
      </c>
      <c r="F134" s="316">
        <v>1.9390000000000001</v>
      </c>
      <c r="G134" s="207">
        <f t="shared" si="24"/>
        <v>2877.6328004125835</v>
      </c>
      <c r="H134" s="307">
        <f>753</f>
        <v>753</v>
      </c>
      <c r="I134" s="350"/>
      <c r="J134" s="350"/>
      <c r="K134" s="186">
        <f t="shared" si="25"/>
        <v>5579.73</v>
      </c>
      <c r="L134" s="321" t="e">
        <f t="shared" si="26"/>
        <v>#REF!</v>
      </c>
      <c r="M134" s="456"/>
      <c r="N134" s="123" t="e">
        <f>IF(ISNA(MATCH(C134,#REF!,0)),"",INDEX(#REF!,MATCH(C134,#REF!,0)))</f>
        <v>#REF!</v>
      </c>
      <c r="O134" s="124" t="e">
        <f>SUMIF(#REF!,C134,#REF!)</f>
        <v>#REF!</v>
      </c>
      <c r="P134" s="124" t="s">
        <v>19</v>
      </c>
    </row>
    <row r="135" spans="1:16" s="64" customFormat="1" ht="26" x14ac:dyDescent="0.25">
      <c r="A135" s="62"/>
      <c r="B135" s="132"/>
      <c r="C135" s="201" t="s">
        <v>1325</v>
      </c>
      <c r="D135" s="188" t="s">
        <v>833</v>
      </c>
      <c r="E135" s="183" t="s">
        <v>977</v>
      </c>
      <c r="F135" s="316">
        <v>1.9390000000000001</v>
      </c>
      <c r="G135" s="207">
        <f t="shared" si="24"/>
        <v>10509.283135636924</v>
      </c>
      <c r="H135" s="307">
        <v>2750</v>
      </c>
      <c r="I135" s="350"/>
      <c r="J135" s="350"/>
      <c r="K135" s="186">
        <f t="shared" si="25"/>
        <v>20377.499999999996</v>
      </c>
      <c r="L135" s="321" t="e">
        <f t="shared" si="26"/>
        <v>#REF!</v>
      </c>
      <c r="M135" s="456"/>
      <c r="N135" s="123" t="e">
        <f>IF(ISNA(MATCH(C135,#REF!,0)),"",INDEX(#REF!,MATCH(C135,#REF!,0)))</f>
        <v>#REF!</v>
      </c>
      <c r="O135" s="124" t="e">
        <f>SUMIF(#REF!,C135,#REF!)</f>
        <v>#REF!</v>
      </c>
      <c r="P135" s="124" t="s">
        <v>19</v>
      </c>
    </row>
    <row r="136" spans="1:16" s="64" customFormat="1" ht="39" x14ac:dyDescent="0.25">
      <c r="A136" s="62"/>
      <c r="B136" s="132"/>
      <c r="C136" s="201" t="s">
        <v>1326</v>
      </c>
      <c r="D136" s="221" t="s">
        <v>1170</v>
      </c>
      <c r="E136" s="200" t="s">
        <v>1176</v>
      </c>
      <c r="F136" s="202">
        <v>14.583</v>
      </c>
      <c r="G136" s="207">
        <f t="shared" si="24"/>
        <v>16472.933552766917</v>
      </c>
      <c r="H136" s="307">
        <f>13698+18712+9</f>
        <v>32419</v>
      </c>
      <c r="I136" s="350"/>
      <c r="J136" s="350"/>
      <c r="K136" s="186">
        <f t="shared" si="25"/>
        <v>240224.78999999998</v>
      </c>
      <c r="L136" s="321" t="e">
        <f t="shared" si="26"/>
        <v>#REF!</v>
      </c>
      <c r="M136" s="456"/>
      <c r="N136" s="131" t="e">
        <f>IF(ISNA(MATCH(C136,#REF!,0)),"",INDEX(#REF!,MATCH(C136,#REF!,0)))</f>
        <v>#REF!</v>
      </c>
      <c r="O136" s="114" t="e">
        <f>SUMIF(#REF!,C136,#REF!)</f>
        <v>#REF!</v>
      </c>
      <c r="P136" s="114" t="s">
        <v>19</v>
      </c>
    </row>
    <row r="137" spans="1:16" s="23" customFormat="1" x14ac:dyDescent="0.3">
      <c r="A137" s="51"/>
      <c r="B137" s="125"/>
      <c r="C137" s="286" t="s">
        <v>1327</v>
      </c>
      <c r="D137" s="287" t="s">
        <v>104</v>
      </c>
      <c r="E137" s="233"/>
      <c r="F137" s="234"/>
      <c r="G137" s="235"/>
      <c r="H137" s="301">
        <f>SUM(H138:H142)</f>
        <v>18995</v>
      </c>
      <c r="I137" s="343"/>
      <c r="J137" s="343"/>
      <c r="K137" s="236">
        <f>SUM(K138:K142)</f>
        <v>140752.95000000001</v>
      </c>
      <c r="L137" s="236" t="e">
        <f>SUM(L138:L142)</f>
        <v>#REF!</v>
      </c>
      <c r="M137" s="449"/>
      <c r="N137" s="126" t="e">
        <f>IF(ISNA(MATCH(C137,#REF!,0)),"",INDEX(#REF!,MATCH(C137,#REF!,0)))</f>
        <v>#REF!</v>
      </c>
      <c r="O137" s="127" t="e">
        <f>SUMIF(#REF!,C137,#REF!)</f>
        <v>#REF!</v>
      </c>
      <c r="P137" s="127" t="s">
        <v>19</v>
      </c>
    </row>
    <row r="138" spans="1:16" s="14" customFormat="1" x14ac:dyDescent="0.25">
      <c r="A138" s="62"/>
      <c r="B138" s="134"/>
      <c r="C138" s="201" t="s">
        <v>1328</v>
      </c>
      <c r="D138" s="58" t="s">
        <v>220</v>
      </c>
      <c r="E138" s="183" t="s">
        <v>840</v>
      </c>
      <c r="F138" s="316">
        <v>3.4271999999999997E-2</v>
      </c>
      <c r="G138" s="207">
        <f>K138/F138</f>
        <v>34161.41456582633</v>
      </c>
      <c r="H138" s="307">
        <f>53+78+27</f>
        <v>158</v>
      </c>
      <c r="I138" s="350"/>
      <c r="J138" s="350"/>
      <c r="K138" s="186">
        <f>H138*$C$4*$C$5</f>
        <v>1170.7799999999997</v>
      </c>
      <c r="L138" s="321" t="e">
        <f>IF(N138="поставка Заказчика",N138,K138)</f>
        <v>#REF!</v>
      </c>
      <c r="M138" s="455"/>
      <c r="N138" s="123" t="e">
        <f>IF(ISNA(MATCH(C138,#REF!,0)),"",INDEX(#REF!,MATCH(C138,#REF!,0)))</f>
        <v>#REF!</v>
      </c>
      <c r="O138" s="124" t="e">
        <f>SUMIF(#REF!,C138,#REF!)</f>
        <v>#REF!</v>
      </c>
      <c r="P138" s="124" t="s">
        <v>19</v>
      </c>
    </row>
    <row r="139" spans="1:16" s="13" customFormat="1" x14ac:dyDescent="0.25">
      <c r="A139" s="62"/>
      <c r="B139" s="134"/>
      <c r="C139" s="201" t="s">
        <v>1329</v>
      </c>
      <c r="D139" s="237" t="s">
        <v>1171</v>
      </c>
      <c r="E139" s="183" t="s">
        <v>1176</v>
      </c>
      <c r="F139" s="316">
        <v>6.3529999999999998</v>
      </c>
      <c r="G139" s="207">
        <f>K139/F139</f>
        <v>3529.4600975916892</v>
      </c>
      <c r="H139" s="307">
        <v>3026</v>
      </c>
      <c r="I139" s="350"/>
      <c r="J139" s="350"/>
      <c r="K139" s="186">
        <f>H139*$C$4*$C$5</f>
        <v>22422.66</v>
      </c>
      <c r="L139" s="321" t="e">
        <f>IF(N139="поставка Заказчика",N139,K139)</f>
        <v>#REF!</v>
      </c>
      <c r="M139" s="454"/>
      <c r="N139" s="123" t="e">
        <f>IF(ISNA(MATCH(C139,#REF!,0)),"",INDEX(#REF!,MATCH(C139,#REF!,0)))</f>
        <v>#REF!</v>
      </c>
      <c r="O139" s="124" t="e">
        <f>SUMIF(#REF!,C139,#REF!)</f>
        <v>#REF!</v>
      </c>
      <c r="P139" s="124" t="s">
        <v>19</v>
      </c>
    </row>
    <row r="140" spans="1:16" s="13" customFormat="1" ht="39" x14ac:dyDescent="0.25">
      <c r="A140" s="62"/>
      <c r="B140" s="134"/>
      <c r="C140" s="201" t="s">
        <v>1330</v>
      </c>
      <c r="D140" s="58" t="s">
        <v>1172</v>
      </c>
      <c r="E140" s="190" t="s">
        <v>977</v>
      </c>
      <c r="F140" s="316">
        <v>0.92</v>
      </c>
      <c r="G140" s="207">
        <f>K140/F140</f>
        <v>74414.119565217377</v>
      </c>
      <c r="H140" s="307">
        <f>9242-3</f>
        <v>9239</v>
      </c>
      <c r="I140" s="350"/>
      <c r="J140" s="350"/>
      <c r="K140" s="186">
        <f>H140*$C$4*$C$5</f>
        <v>68460.989999999991</v>
      </c>
      <c r="L140" s="321" t="e">
        <f>IF(N140="поставка Заказчика",N140,K140)</f>
        <v>#REF!</v>
      </c>
      <c r="M140" s="454"/>
      <c r="N140" s="319" t="e">
        <f>IF(ISNA(MATCH(C140,#REF!,0)),"",INDEX(#REF!,MATCH(C140,#REF!,0)))</f>
        <v>#REF!</v>
      </c>
      <c r="O140" s="113" t="e">
        <f>SUMIF(#REF!,C140,#REF!)</f>
        <v>#REF!</v>
      </c>
      <c r="P140" s="113" t="s">
        <v>19</v>
      </c>
    </row>
    <row r="141" spans="1:16" s="13" customFormat="1" ht="26" x14ac:dyDescent="0.25">
      <c r="A141" s="62"/>
      <c r="B141" s="134"/>
      <c r="C141" s="201" t="s">
        <v>1331</v>
      </c>
      <c r="D141" s="58" t="s">
        <v>1173</v>
      </c>
      <c r="E141" s="183" t="s">
        <v>948</v>
      </c>
      <c r="F141" s="316">
        <v>0.45900000000000002</v>
      </c>
      <c r="G141" s="207">
        <f>K141/F141</f>
        <v>100656.53594771241</v>
      </c>
      <c r="H141" s="307">
        <v>6235</v>
      </c>
      <c r="I141" s="350"/>
      <c r="J141" s="350"/>
      <c r="K141" s="186">
        <f>H141*$C$4*$C$5</f>
        <v>46201.35</v>
      </c>
      <c r="L141" s="321" t="e">
        <f>IF(N141="поставка Заказчика",N141,K141)</f>
        <v>#REF!</v>
      </c>
      <c r="M141" s="454"/>
      <c r="N141" s="123" t="e">
        <f>IF(ISNA(MATCH(C141,#REF!,0)),"",INDEX(#REF!,MATCH(C141,#REF!,0)))</f>
        <v>#REF!</v>
      </c>
      <c r="O141" s="124" t="e">
        <f>SUMIF(#REF!,C141,#REF!)</f>
        <v>#REF!</v>
      </c>
      <c r="P141" s="124" t="s">
        <v>19</v>
      </c>
    </row>
    <row r="142" spans="1:16" s="13" customFormat="1" x14ac:dyDescent="0.25">
      <c r="A142" s="62"/>
      <c r="B142" s="134"/>
      <c r="C142" s="201" t="s">
        <v>1332</v>
      </c>
      <c r="D142" s="58" t="s">
        <v>1174</v>
      </c>
      <c r="E142" s="183" t="s">
        <v>826</v>
      </c>
      <c r="F142" s="316">
        <v>4.0800000000000003E-3</v>
      </c>
      <c r="G142" s="207">
        <f>K142/F142</f>
        <v>612051.47058823518</v>
      </c>
      <c r="H142" s="307">
        <f>36+39+68+101+93</f>
        <v>337</v>
      </c>
      <c r="I142" s="350"/>
      <c r="J142" s="350"/>
      <c r="K142" s="186">
        <f>H142*$C$4*$C$5</f>
        <v>2497.1699999999996</v>
      </c>
      <c r="L142" s="321" t="e">
        <f>IF(N142="поставка Заказчика",N142,K142)</f>
        <v>#REF!</v>
      </c>
      <c r="M142" s="454"/>
      <c r="N142" s="123" t="e">
        <f>IF(ISNA(MATCH(C142,#REF!,0)),"",INDEX(#REF!,MATCH(C142,#REF!,0)))</f>
        <v>#REF!</v>
      </c>
      <c r="O142" s="124" t="e">
        <f>SUMIF(#REF!,C142,#REF!)</f>
        <v>#REF!</v>
      </c>
      <c r="P142" s="124" t="s">
        <v>19</v>
      </c>
    </row>
    <row r="143" spans="1:16" s="13" customFormat="1" ht="39" x14ac:dyDescent="0.25">
      <c r="A143" s="63"/>
      <c r="B143" s="128" t="s">
        <v>91</v>
      </c>
      <c r="C143" s="213" t="s">
        <v>1333</v>
      </c>
      <c r="D143" s="60" t="s">
        <v>92</v>
      </c>
      <c r="E143" s="214"/>
      <c r="F143" s="215"/>
      <c r="G143" s="211"/>
      <c r="H143" s="304">
        <f>H146+H149</f>
        <v>7799</v>
      </c>
      <c r="I143" s="347"/>
      <c r="J143" s="347"/>
      <c r="K143" s="205">
        <f>K146+K149</f>
        <v>57790.59</v>
      </c>
      <c r="L143" s="205" t="e">
        <f>L146+L149</f>
        <v>#REF!</v>
      </c>
      <c r="M143" s="454" t="s">
        <v>1164</v>
      </c>
      <c r="N143" s="136" t="e">
        <f>IF(ISNA(MATCH(C143,#REF!,0)),"",INDEX(#REF!,MATCH(C143,#REF!,0)))</f>
        <v>#REF!</v>
      </c>
      <c r="O143" s="137" t="e">
        <f>SUMIF(#REF!,C143,#REF!)</f>
        <v>#REF!</v>
      </c>
      <c r="P143" s="130" t="s">
        <v>20</v>
      </c>
    </row>
    <row r="144" spans="1:16" s="13" customFormat="1" ht="13.5" x14ac:dyDescent="0.25">
      <c r="A144" s="62"/>
      <c r="B144" s="133"/>
      <c r="C144" s="238"/>
      <c r="D144" s="600" t="s">
        <v>1707</v>
      </c>
      <c r="E144" s="239"/>
      <c r="F144" s="317"/>
      <c r="G144" s="240"/>
      <c r="H144" s="308"/>
      <c r="I144" s="352"/>
      <c r="J144" s="352"/>
      <c r="K144" s="241"/>
      <c r="L144" s="241" t="e">
        <f>K144-O144</f>
        <v>#REF!</v>
      </c>
      <c r="M144" s="454"/>
      <c r="N144" s="143" t="e">
        <f>IF(ISNA(MATCH(C144,#REF!,0)),"",INDEX(#REF!,MATCH(C144,#REF!,0)))</f>
        <v>#REF!</v>
      </c>
      <c r="O144" s="144" t="e">
        <f>SUMIF(#REF!,C144,#REF!)</f>
        <v>#REF!</v>
      </c>
      <c r="P144" s="144" t="s">
        <v>20</v>
      </c>
    </row>
    <row r="145" spans="1:16" s="13" customFormat="1" ht="52" x14ac:dyDescent="0.25">
      <c r="A145" s="62"/>
      <c r="B145" s="591"/>
      <c r="C145" s="592" t="s">
        <v>554</v>
      </c>
      <c r="D145" s="594" t="s">
        <v>1702</v>
      </c>
      <c r="E145" s="275" t="s">
        <v>970</v>
      </c>
      <c r="F145" s="317">
        <v>1</v>
      </c>
      <c r="G145" s="240" t="str">
        <f>IF(ISERR(L145/F145),"",K145/F145)</f>
        <v/>
      </c>
      <c r="H145" s="242">
        <v>217123</v>
      </c>
      <c r="I145" s="353">
        <f>H145/1.0997</f>
        <v>197438.39228880606</v>
      </c>
      <c r="J145" s="353">
        <f>I145/F145</f>
        <v>197438.39228880606</v>
      </c>
      <c r="K145" s="322">
        <f>H145*$C$6</f>
        <v>729533.28</v>
      </c>
      <c r="L145" s="323" t="e">
        <f>IF(N145="Заказчика",N145,INDEX(#REF!,MATCH(C145,#REF!,0)))</f>
        <v>#REF!</v>
      </c>
      <c r="M145" s="454"/>
      <c r="N145" s="145" t="e">
        <f>IF(ISNA(MATCH(C145,#REF!,0)),"",INDEX(#REF!,MATCH(C145,#REF!,0)))</f>
        <v>#REF!</v>
      </c>
      <c r="O145" s="146" t="e">
        <f>SUMIF(#REF!,C145,#REF!)</f>
        <v>#REF!</v>
      </c>
      <c r="P145" s="146" t="s">
        <v>20</v>
      </c>
    </row>
    <row r="146" spans="1:16" s="23" customFormat="1" x14ac:dyDescent="0.3">
      <c r="A146" s="51"/>
      <c r="B146" s="125"/>
      <c r="C146" s="286" t="s">
        <v>1334</v>
      </c>
      <c r="D146" s="287" t="s">
        <v>721</v>
      </c>
      <c r="E146" s="233"/>
      <c r="F146" s="234"/>
      <c r="G146" s="235"/>
      <c r="H146" s="301">
        <f>SUM(H147:H148)</f>
        <v>5298</v>
      </c>
      <c r="I146" s="343"/>
      <c r="J146" s="343"/>
      <c r="K146" s="236">
        <f>SUM(K147:K148)</f>
        <v>39258.179999999993</v>
      </c>
      <c r="L146" s="236" t="e">
        <f>SUM(L147:L148)</f>
        <v>#REF!</v>
      </c>
      <c r="M146" s="449"/>
      <c r="N146" s="126" t="e">
        <f>IF(ISNA(MATCH(C146,#REF!,0)),"",INDEX(#REF!,MATCH(C146,#REF!,0)))</f>
        <v>#REF!</v>
      </c>
      <c r="O146" s="127" t="e">
        <f>SUMIF(#REF!,C146,#REF!)</f>
        <v>#REF!</v>
      </c>
      <c r="P146" s="127" t="s">
        <v>20</v>
      </c>
    </row>
    <row r="147" spans="1:16" s="14" customFormat="1" ht="26" x14ac:dyDescent="0.25">
      <c r="A147" s="62"/>
      <c r="B147" s="134"/>
      <c r="C147" s="201" t="s">
        <v>1335</v>
      </c>
      <c r="D147" s="58" t="s">
        <v>1703</v>
      </c>
      <c r="E147" s="200" t="s">
        <v>970</v>
      </c>
      <c r="F147" s="202">
        <v>1</v>
      </c>
      <c r="G147" s="207">
        <f>K147/F147</f>
        <v>37546.469999999994</v>
      </c>
      <c r="H147" s="187">
        <v>5067</v>
      </c>
      <c r="I147" s="244"/>
      <c r="J147" s="244"/>
      <c r="K147" s="186">
        <f>H147*$C$4*$C$5</f>
        <v>37546.469999999994</v>
      </c>
      <c r="L147" s="321" t="e">
        <f>IF(N147="поставка Заказчика",N147,K147)</f>
        <v>#REF!</v>
      </c>
      <c r="M147" s="455"/>
      <c r="N147" s="131" t="e">
        <f>IF(ISNA(MATCH(C147,#REF!,0)),"",INDEX(#REF!,MATCH(C147,#REF!,0)))</f>
        <v>#REF!</v>
      </c>
      <c r="O147" s="114" t="e">
        <f>SUMIF(#REF!,C147,#REF!)</f>
        <v>#REF!</v>
      </c>
      <c r="P147" s="114" t="s">
        <v>20</v>
      </c>
    </row>
    <row r="148" spans="1:16" s="14" customFormat="1" ht="52" x14ac:dyDescent="0.25">
      <c r="A148" s="62"/>
      <c r="B148" s="134"/>
      <c r="C148" s="201" t="s">
        <v>1336</v>
      </c>
      <c r="D148" s="58" t="s">
        <v>1704</v>
      </c>
      <c r="E148" s="200" t="s">
        <v>970</v>
      </c>
      <c r="F148" s="202">
        <v>1</v>
      </c>
      <c r="G148" s="207">
        <f>K148/F148</f>
        <v>1711.7099999999998</v>
      </c>
      <c r="H148" s="243">
        <v>231</v>
      </c>
      <c r="I148" s="354"/>
      <c r="J148" s="354"/>
      <c r="K148" s="186">
        <f>H148*$C$4*$C$5</f>
        <v>1711.7099999999998</v>
      </c>
      <c r="L148" s="321" t="e">
        <f>IF(N148="поставка Заказчика",N148,K148)</f>
        <v>#REF!</v>
      </c>
      <c r="M148" s="455"/>
      <c r="N148" s="131" t="e">
        <f>IF(ISNA(MATCH(C148,#REF!,0)),"",INDEX(#REF!,MATCH(C148,#REF!,0)))</f>
        <v>#REF!</v>
      </c>
      <c r="O148" s="114" t="e">
        <f>SUMIF(#REF!,C148,#REF!)</f>
        <v>#REF!</v>
      </c>
      <c r="P148" s="114" t="s">
        <v>20</v>
      </c>
    </row>
    <row r="149" spans="1:16" s="23" customFormat="1" x14ac:dyDescent="0.3">
      <c r="A149" s="51"/>
      <c r="B149" s="125"/>
      <c r="C149" s="286" t="s">
        <v>105</v>
      </c>
      <c r="D149" s="287" t="s">
        <v>1705</v>
      </c>
      <c r="E149" s="233"/>
      <c r="F149" s="234"/>
      <c r="G149" s="235"/>
      <c r="H149" s="301">
        <f>SUM(H150)</f>
        <v>2501</v>
      </c>
      <c r="I149" s="343"/>
      <c r="J149" s="343"/>
      <c r="K149" s="236">
        <f>SUM(K150)</f>
        <v>18532.41</v>
      </c>
      <c r="L149" s="236" t="e">
        <f>SUM(L150)</f>
        <v>#REF!</v>
      </c>
      <c r="M149" s="449"/>
      <c r="N149" s="126" t="e">
        <f>IF(ISNA(MATCH(C149,#REF!,0)),"",INDEX(#REF!,MATCH(C149,#REF!,0)))</f>
        <v>#REF!</v>
      </c>
      <c r="O149" s="127" t="e">
        <f>SUMIF(#REF!,C149,#REF!)</f>
        <v>#REF!</v>
      </c>
      <c r="P149" s="127" t="s">
        <v>20</v>
      </c>
    </row>
    <row r="150" spans="1:16" s="14" customFormat="1" ht="26" x14ac:dyDescent="0.25">
      <c r="A150" s="62"/>
      <c r="B150" s="134"/>
      <c r="C150" s="201" t="s">
        <v>106</v>
      </c>
      <c r="D150" s="58" t="s">
        <v>1706</v>
      </c>
      <c r="E150" s="200" t="s">
        <v>977</v>
      </c>
      <c r="F150" s="316">
        <v>0.21351999999999999</v>
      </c>
      <c r="G150" s="207">
        <f>K150/F150</f>
        <v>86794.726489321853</v>
      </c>
      <c r="H150" s="243">
        <v>2501</v>
      </c>
      <c r="I150" s="354"/>
      <c r="J150" s="354"/>
      <c r="K150" s="186">
        <f>H150*$C$4*$C$5</f>
        <v>18532.41</v>
      </c>
      <c r="L150" s="321" t="e">
        <f>IF(N150="поставка Заказчика",N150,K150)</f>
        <v>#REF!</v>
      </c>
      <c r="M150" s="455"/>
      <c r="N150" s="131" t="e">
        <f>IF(ISNA(MATCH(C150,#REF!,0)),"",INDEX(#REF!,MATCH(C150,#REF!,0)))</f>
        <v>#REF!</v>
      </c>
      <c r="O150" s="114" t="e">
        <f>SUMIF(#REF!,C150,#REF!)</f>
        <v>#REF!</v>
      </c>
      <c r="P150" s="114" t="s">
        <v>20</v>
      </c>
    </row>
    <row r="151" spans="1:16" s="14" customFormat="1" ht="39" x14ac:dyDescent="0.25">
      <c r="A151" s="62"/>
      <c r="B151" s="128" t="s">
        <v>1708</v>
      </c>
      <c r="C151" s="213" t="s">
        <v>1337</v>
      </c>
      <c r="D151" s="60" t="s">
        <v>107</v>
      </c>
      <c r="E151" s="214"/>
      <c r="F151" s="215"/>
      <c r="G151" s="211"/>
      <c r="H151" s="304">
        <f>H154+H157</f>
        <v>38019</v>
      </c>
      <c r="I151" s="347"/>
      <c r="J151" s="347"/>
      <c r="K151" s="205">
        <f>K154+K157</f>
        <v>281720.78999999998</v>
      </c>
      <c r="L151" s="205" t="e">
        <f>L154+L157</f>
        <v>#REF!</v>
      </c>
      <c r="M151" s="454" t="s">
        <v>1164</v>
      </c>
      <c r="N151" s="136" t="e">
        <f>IF(ISNA(MATCH(C151,#REF!,0)),"",INDEX(#REF!,MATCH(C151,#REF!,0)))</f>
        <v>#REF!</v>
      </c>
      <c r="O151" s="137" t="e">
        <f>SUMIF(#REF!,C151,#REF!)</f>
        <v>#REF!</v>
      </c>
      <c r="P151" s="130" t="s">
        <v>21</v>
      </c>
    </row>
    <row r="152" spans="1:16" s="14" customFormat="1" ht="13.5" x14ac:dyDescent="0.25">
      <c r="A152" s="62"/>
      <c r="B152" s="134"/>
      <c r="C152" s="201"/>
      <c r="D152" s="142" t="s">
        <v>1707</v>
      </c>
      <c r="E152" s="200"/>
      <c r="F152" s="202"/>
      <c r="G152" s="207"/>
      <c r="H152" s="187"/>
      <c r="I152" s="244"/>
      <c r="J152" s="244"/>
      <c r="K152" s="186">
        <f>H152*$C$4*$C$5</f>
        <v>0</v>
      </c>
      <c r="L152" s="186" t="e">
        <f>K152-O152</f>
        <v>#REF!</v>
      </c>
      <c r="M152" s="455"/>
      <c r="N152" s="131" t="e">
        <f>IF(ISNA(MATCH(C152,#REF!,0)),"",INDEX(#REF!,MATCH(C152,#REF!,0)))</f>
        <v>#REF!</v>
      </c>
      <c r="O152" s="114" t="e">
        <f>SUMIF(#REF!,C152,#REF!)</f>
        <v>#REF!</v>
      </c>
      <c r="P152" s="114" t="s">
        <v>21</v>
      </c>
    </row>
    <row r="153" spans="1:16" s="14" customFormat="1" ht="65" x14ac:dyDescent="0.25">
      <c r="A153" s="62"/>
      <c r="B153" s="591"/>
      <c r="C153" s="592" t="s">
        <v>555</v>
      </c>
      <c r="D153" s="594" t="s">
        <v>1709</v>
      </c>
      <c r="E153" s="275" t="s">
        <v>970</v>
      </c>
      <c r="F153" s="595">
        <v>2</v>
      </c>
      <c r="G153" s="240" t="str">
        <f>IF(ISERR(L153/F153),"",K153/F153)</f>
        <v/>
      </c>
      <c r="H153" s="242">
        <v>668183</v>
      </c>
      <c r="I153" s="353">
        <f>H153/1.0997</f>
        <v>607604.80130944808</v>
      </c>
      <c r="J153" s="353">
        <f>I153/F153</f>
        <v>303802.40065472404</v>
      </c>
      <c r="K153" s="322">
        <f>H153*$C$6</f>
        <v>2245094.88</v>
      </c>
      <c r="L153" s="323" t="e">
        <f>IF(N153="Заказчика",N153,INDEX(#REF!,MATCH(C153,#REF!,0)))</f>
        <v>#REF!</v>
      </c>
      <c r="M153" s="455"/>
      <c r="N153" s="145" t="e">
        <f>IF(ISNA(MATCH(C153,#REF!,0)),"",INDEX(#REF!,MATCH(C153,#REF!,0)))</f>
        <v>#REF!</v>
      </c>
      <c r="O153" s="146" t="e">
        <f>SUMIF(#REF!,C153,#REF!)</f>
        <v>#REF!</v>
      </c>
      <c r="P153" s="146" t="s">
        <v>21</v>
      </c>
    </row>
    <row r="154" spans="1:16" s="14" customFormat="1" x14ac:dyDescent="0.25">
      <c r="A154" s="62"/>
      <c r="B154" s="134"/>
      <c r="C154" s="216" t="s">
        <v>1338</v>
      </c>
      <c r="D154" s="232" t="s">
        <v>721</v>
      </c>
      <c r="E154" s="233"/>
      <c r="F154" s="234"/>
      <c r="G154" s="235"/>
      <c r="H154" s="301">
        <f>SUM(H155:H156)</f>
        <v>16175</v>
      </c>
      <c r="I154" s="343"/>
      <c r="J154" s="343"/>
      <c r="K154" s="236">
        <f>SUM(K155:K156)</f>
        <v>119856.75</v>
      </c>
      <c r="L154" s="236" t="e">
        <f>SUM(L155:L156)</f>
        <v>#REF!</v>
      </c>
      <c r="M154" s="455"/>
      <c r="N154" s="126" t="e">
        <f>IF(ISNA(MATCH(C154,#REF!,0)),"",INDEX(#REF!,MATCH(C154,#REF!,0)))</f>
        <v>#REF!</v>
      </c>
      <c r="O154" s="127" t="e">
        <f>SUMIF(#REF!,C154,#REF!)</f>
        <v>#REF!</v>
      </c>
      <c r="P154" s="127" t="s">
        <v>21</v>
      </c>
    </row>
    <row r="155" spans="1:16" s="14" customFormat="1" ht="26" x14ac:dyDescent="0.25">
      <c r="A155" s="62"/>
      <c r="B155" s="134"/>
      <c r="C155" s="201" t="s">
        <v>1339</v>
      </c>
      <c r="D155" s="58" t="s">
        <v>1710</v>
      </c>
      <c r="E155" s="200" t="s">
        <v>970</v>
      </c>
      <c r="F155" s="202">
        <v>2</v>
      </c>
      <c r="G155" s="207">
        <f>K155/F155</f>
        <v>55949.205000000002</v>
      </c>
      <c r="H155" s="187">
        <f>15100+1</f>
        <v>15101</v>
      </c>
      <c r="I155" s="244"/>
      <c r="J155" s="244"/>
      <c r="K155" s="186">
        <f>H155*$C$4*$C$5</f>
        <v>111898.41</v>
      </c>
      <c r="L155" s="321" t="e">
        <f>IF(N155="поставка Заказчика",N155,K155)</f>
        <v>#REF!</v>
      </c>
      <c r="M155" s="455"/>
      <c r="N155" s="131" t="e">
        <f>IF(ISNA(MATCH(C155,#REF!,0)),"",INDEX(#REF!,MATCH(C155,#REF!,0)))</f>
        <v>#REF!</v>
      </c>
      <c r="O155" s="114" t="e">
        <f>SUMIF(#REF!,C155,#REF!)</f>
        <v>#REF!</v>
      </c>
      <c r="P155" s="114" t="s">
        <v>21</v>
      </c>
    </row>
    <row r="156" spans="1:16" s="14" customFormat="1" ht="52" x14ac:dyDescent="0.25">
      <c r="A156" s="62"/>
      <c r="B156" s="134"/>
      <c r="C156" s="201" t="s">
        <v>1340</v>
      </c>
      <c r="D156" s="58" t="s">
        <v>1711</v>
      </c>
      <c r="E156" s="200" t="s">
        <v>970</v>
      </c>
      <c r="F156" s="202">
        <v>2</v>
      </c>
      <c r="G156" s="207">
        <f>K156/F156</f>
        <v>3979.1699999999996</v>
      </c>
      <c r="H156" s="187">
        <v>1074</v>
      </c>
      <c r="I156" s="244"/>
      <c r="J156" s="244"/>
      <c r="K156" s="186">
        <f>H156*$C$4*$C$5</f>
        <v>7958.3399999999992</v>
      </c>
      <c r="L156" s="321" t="e">
        <f>IF(N156="поставка Заказчика",N156,K156)</f>
        <v>#REF!</v>
      </c>
      <c r="M156" s="455"/>
      <c r="N156" s="131" t="e">
        <f>IF(ISNA(MATCH(C156,#REF!,0)),"",INDEX(#REF!,MATCH(C156,#REF!,0)))</f>
        <v>#REF!</v>
      </c>
      <c r="O156" s="114" t="e">
        <f>SUMIF(#REF!,C156,#REF!)</f>
        <v>#REF!</v>
      </c>
      <c r="P156" s="114" t="s">
        <v>21</v>
      </c>
    </row>
    <row r="157" spans="1:16" s="14" customFormat="1" x14ac:dyDescent="0.25">
      <c r="A157" s="62"/>
      <c r="B157" s="134"/>
      <c r="C157" s="216" t="s">
        <v>1341</v>
      </c>
      <c r="D157" s="232" t="s">
        <v>1705</v>
      </c>
      <c r="E157" s="233"/>
      <c r="F157" s="234"/>
      <c r="G157" s="235"/>
      <c r="H157" s="301">
        <f>SUM(H158)</f>
        <v>21844</v>
      </c>
      <c r="I157" s="343"/>
      <c r="J157" s="343"/>
      <c r="K157" s="236">
        <f>SUM(K158)</f>
        <v>161864.03999999998</v>
      </c>
      <c r="L157" s="236" t="e">
        <f>SUM(L158)</f>
        <v>#REF!</v>
      </c>
      <c r="M157" s="455"/>
      <c r="N157" s="126" t="e">
        <f>IF(ISNA(MATCH(C157,#REF!,0)),"",INDEX(#REF!,MATCH(C157,#REF!,0)))</f>
        <v>#REF!</v>
      </c>
      <c r="O157" s="127" t="e">
        <f>SUMIF(#REF!,C157,#REF!)</f>
        <v>#REF!</v>
      </c>
      <c r="P157" s="127" t="s">
        <v>21</v>
      </c>
    </row>
    <row r="158" spans="1:16" s="13" customFormat="1" ht="26" x14ac:dyDescent="0.25">
      <c r="A158" s="62"/>
      <c r="B158" s="134"/>
      <c r="C158" s="201" t="s">
        <v>108</v>
      </c>
      <c r="D158" s="58" t="s">
        <v>1706</v>
      </c>
      <c r="E158" s="200" t="s">
        <v>977</v>
      </c>
      <c r="F158" s="316">
        <v>1.865</v>
      </c>
      <c r="G158" s="207">
        <f>K158/F158</f>
        <v>86790.369973190333</v>
      </c>
      <c r="H158" s="243">
        <f>21843+1</f>
        <v>21844</v>
      </c>
      <c r="I158" s="354"/>
      <c r="J158" s="354"/>
      <c r="K158" s="186">
        <f>H158*$C$4*$C$5</f>
        <v>161864.03999999998</v>
      </c>
      <c r="L158" s="321" t="e">
        <f>IF(N158="поставка Заказчика",N158,K158)</f>
        <v>#REF!</v>
      </c>
      <c r="M158" s="454"/>
      <c r="N158" s="131" t="e">
        <f>IF(ISNA(MATCH(C158,#REF!,0)),"",INDEX(#REF!,MATCH(C158,#REF!,0)))</f>
        <v>#REF!</v>
      </c>
      <c r="O158" s="114" t="e">
        <f>SUMIF(#REF!,C158,#REF!)</f>
        <v>#REF!</v>
      </c>
      <c r="P158" s="114" t="s">
        <v>21</v>
      </c>
    </row>
    <row r="159" spans="1:16" s="13" customFormat="1" ht="39" x14ac:dyDescent="0.25">
      <c r="A159" s="62"/>
      <c r="B159" s="128" t="s">
        <v>1713</v>
      </c>
      <c r="C159" s="213" t="s">
        <v>1342</v>
      </c>
      <c r="D159" s="60" t="s">
        <v>1712</v>
      </c>
      <c r="E159" s="214"/>
      <c r="F159" s="215"/>
      <c r="G159" s="211"/>
      <c r="H159" s="304">
        <f>SUM(H160:H173)</f>
        <v>112856</v>
      </c>
      <c r="I159" s="347"/>
      <c r="J159" s="347"/>
      <c r="K159" s="205">
        <f>SUM(K160:K173)</f>
        <v>836262.96</v>
      </c>
      <c r="L159" s="205" t="e">
        <f>SUM(L160:L173)</f>
        <v>#REF!</v>
      </c>
      <c r="M159" s="454" t="s">
        <v>1164</v>
      </c>
      <c r="N159" s="136" t="e">
        <f>IF(ISNA(MATCH(C159,#REF!,0)),"",INDEX(#REF!,MATCH(C159,#REF!,0)))</f>
        <v>#REF!</v>
      </c>
      <c r="O159" s="137" t="e">
        <f>SUMIF(#REF!,C159,#REF!)</f>
        <v>#REF!</v>
      </c>
      <c r="P159" s="130" t="s">
        <v>22</v>
      </c>
    </row>
    <row r="160" spans="1:16" s="13" customFormat="1" ht="26" x14ac:dyDescent="0.25">
      <c r="A160" s="62"/>
      <c r="B160" s="134"/>
      <c r="C160" s="201" t="s">
        <v>1343</v>
      </c>
      <c r="D160" s="58" t="s">
        <v>1714</v>
      </c>
      <c r="E160" s="183" t="s">
        <v>1176</v>
      </c>
      <c r="F160" s="316">
        <v>5.1100000000000003</v>
      </c>
      <c r="G160" s="207">
        <f t="shared" ref="G160:G173" si="27">K160/F160</f>
        <v>5414.6653620352236</v>
      </c>
      <c r="H160" s="187">
        <v>3734</v>
      </c>
      <c r="I160" s="244"/>
      <c r="J160" s="244"/>
      <c r="K160" s="186">
        <f t="shared" ref="K160:K173" si="28">H160*$C$4*$C$5</f>
        <v>27668.939999999995</v>
      </c>
      <c r="L160" s="321" t="e">
        <f t="shared" ref="L160:L173" si="29">IF(N160="поставка Заказчика",N160,K160)</f>
        <v>#REF!</v>
      </c>
      <c r="M160" s="454"/>
      <c r="N160" s="123" t="e">
        <f>IF(ISNA(MATCH(C160,#REF!,0)),"",INDEX(#REF!,MATCH(C160,#REF!,0)))</f>
        <v>#REF!</v>
      </c>
      <c r="O160" s="124" t="e">
        <f>SUMIF(#REF!,C160,#REF!)</f>
        <v>#REF!</v>
      </c>
      <c r="P160" s="124" t="s">
        <v>22</v>
      </c>
    </row>
    <row r="161" spans="1:16" s="13" customFormat="1" ht="39" x14ac:dyDescent="0.25">
      <c r="A161" s="62"/>
      <c r="B161" s="134"/>
      <c r="C161" s="201" t="s">
        <v>1344</v>
      </c>
      <c r="D161" s="58" t="s">
        <v>1715</v>
      </c>
      <c r="E161" s="183" t="s">
        <v>1176</v>
      </c>
      <c r="F161" s="316">
        <v>8.19</v>
      </c>
      <c r="G161" s="207">
        <f t="shared" si="27"/>
        <v>32681.809523809519</v>
      </c>
      <c r="H161" s="187">
        <f>4334+31436+353-1</f>
        <v>36122</v>
      </c>
      <c r="I161" s="244"/>
      <c r="J161" s="244"/>
      <c r="K161" s="186">
        <f t="shared" si="28"/>
        <v>267664.01999999996</v>
      </c>
      <c r="L161" s="321" t="e">
        <f t="shared" si="29"/>
        <v>#REF!</v>
      </c>
      <c r="M161" s="454"/>
      <c r="N161" s="123" t="e">
        <f>IF(ISNA(MATCH(C161,#REF!,0)),"",INDEX(#REF!,MATCH(C161,#REF!,0)))</f>
        <v>#REF!</v>
      </c>
      <c r="O161" s="124" t="e">
        <f>SUMIF(#REF!,C161,#REF!)</f>
        <v>#REF!</v>
      </c>
      <c r="P161" s="124" t="s">
        <v>22</v>
      </c>
    </row>
    <row r="162" spans="1:16" s="13" customFormat="1" ht="39" x14ac:dyDescent="0.25">
      <c r="A162" s="62"/>
      <c r="B162" s="134"/>
      <c r="C162" s="201" t="s">
        <v>1345</v>
      </c>
      <c r="D162" s="58" t="s">
        <v>959</v>
      </c>
      <c r="E162" s="183" t="s">
        <v>970</v>
      </c>
      <c r="F162" s="316">
        <v>16</v>
      </c>
      <c r="G162" s="207">
        <f t="shared" si="27"/>
        <v>1097.6062499999998</v>
      </c>
      <c r="H162" s="243">
        <v>2370</v>
      </c>
      <c r="I162" s="354"/>
      <c r="J162" s="354"/>
      <c r="K162" s="186">
        <f t="shared" si="28"/>
        <v>17561.699999999997</v>
      </c>
      <c r="L162" s="321" t="e">
        <f t="shared" si="29"/>
        <v>#REF!</v>
      </c>
      <c r="M162" s="454"/>
      <c r="N162" s="123" t="e">
        <f>IF(ISNA(MATCH(C162,#REF!,0)),"",INDEX(#REF!,MATCH(C162,#REF!,0)))</f>
        <v>#REF!</v>
      </c>
      <c r="O162" s="124" t="e">
        <f>SUMIF(#REF!,C162,#REF!)</f>
        <v>#REF!</v>
      </c>
      <c r="P162" s="124" t="s">
        <v>22</v>
      </c>
    </row>
    <row r="163" spans="1:16" s="13" customFormat="1" ht="26" x14ac:dyDescent="0.25">
      <c r="A163" s="62"/>
      <c r="B163" s="134"/>
      <c r="C163" s="201" t="s">
        <v>1346</v>
      </c>
      <c r="D163" s="228" t="s">
        <v>212</v>
      </c>
      <c r="E163" s="183" t="s">
        <v>977</v>
      </c>
      <c r="F163" s="316">
        <v>0.94199999999999995</v>
      </c>
      <c r="G163" s="207">
        <f t="shared" si="27"/>
        <v>3933.1210191082805</v>
      </c>
      <c r="H163" s="243">
        <f>236+236+28</f>
        <v>500</v>
      </c>
      <c r="I163" s="354"/>
      <c r="J163" s="354"/>
      <c r="K163" s="186">
        <f t="shared" si="28"/>
        <v>3705</v>
      </c>
      <c r="L163" s="321" t="e">
        <f t="shared" si="29"/>
        <v>#REF!</v>
      </c>
      <c r="M163" s="454"/>
      <c r="N163" s="123" t="e">
        <f>IF(ISNA(MATCH(C163,#REF!,0)),"",INDEX(#REF!,MATCH(C163,#REF!,0)))</f>
        <v>#REF!</v>
      </c>
      <c r="O163" s="124" t="e">
        <f>SUMIF(#REF!,C163,#REF!)</f>
        <v>#REF!</v>
      </c>
      <c r="P163" s="124" t="s">
        <v>22</v>
      </c>
    </row>
    <row r="164" spans="1:16" s="13" customFormat="1" ht="39" x14ac:dyDescent="0.25">
      <c r="A164" s="62"/>
      <c r="B164" s="134"/>
      <c r="C164" s="201" t="s">
        <v>1347</v>
      </c>
      <c r="D164" s="229" t="s">
        <v>961</v>
      </c>
      <c r="E164" s="230" t="s">
        <v>977</v>
      </c>
      <c r="F164" s="316">
        <v>0.57599999999999996</v>
      </c>
      <c r="G164" s="207">
        <f t="shared" si="27"/>
        <v>2765.8854166666665</v>
      </c>
      <c r="H164" s="243">
        <f>101+114</f>
        <v>215</v>
      </c>
      <c r="I164" s="354"/>
      <c r="J164" s="354"/>
      <c r="K164" s="186">
        <f t="shared" si="28"/>
        <v>1593.1499999999999</v>
      </c>
      <c r="L164" s="321" t="e">
        <f t="shared" si="29"/>
        <v>#REF!</v>
      </c>
      <c r="M164" s="454"/>
      <c r="N164" s="131" t="e">
        <f>IF(ISNA(MATCH(C164,#REF!,0)),"",INDEX(#REF!,MATCH(C164,#REF!,0)))</f>
        <v>#REF!</v>
      </c>
      <c r="O164" s="114" t="e">
        <f>SUMIF(#REF!,C164,#REF!)</f>
        <v>#REF!</v>
      </c>
      <c r="P164" s="114" t="s">
        <v>22</v>
      </c>
    </row>
    <row r="165" spans="1:16" s="13" customFormat="1" ht="26" x14ac:dyDescent="0.25">
      <c r="A165" s="62"/>
      <c r="B165" s="134"/>
      <c r="C165" s="201" t="s">
        <v>1348</v>
      </c>
      <c r="D165" s="58" t="s">
        <v>1716</v>
      </c>
      <c r="E165" s="193" t="s">
        <v>969</v>
      </c>
      <c r="F165" s="316">
        <v>1.577</v>
      </c>
      <c r="G165" s="207">
        <f t="shared" si="27"/>
        <v>128784.57831325302</v>
      </c>
      <c r="H165" s="243">
        <f>4489+6571+3576+12772</f>
        <v>27408</v>
      </c>
      <c r="I165" s="354"/>
      <c r="J165" s="354"/>
      <c r="K165" s="186">
        <f t="shared" si="28"/>
        <v>203093.28</v>
      </c>
      <c r="L165" s="321" t="e">
        <f t="shared" si="29"/>
        <v>#REF!</v>
      </c>
      <c r="M165" s="454"/>
      <c r="N165" s="123" t="e">
        <f>IF(ISNA(MATCH(C165,#REF!,0)),"",INDEX(#REF!,MATCH(C165,#REF!,0)))</f>
        <v>#REF!</v>
      </c>
      <c r="O165" s="124" t="e">
        <f>SUMIF(#REF!,C165,#REF!)</f>
        <v>#REF!</v>
      </c>
      <c r="P165" s="124" t="s">
        <v>22</v>
      </c>
    </row>
    <row r="166" spans="1:16" s="13" customFormat="1" ht="39" x14ac:dyDescent="0.25">
      <c r="A166" s="62"/>
      <c r="B166" s="134"/>
      <c r="C166" s="201" t="s">
        <v>1349</v>
      </c>
      <c r="D166" s="58" t="s">
        <v>1717</v>
      </c>
      <c r="E166" s="190" t="s">
        <v>826</v>
      </c>
      <c r="F166" s="316">
        <v>9.7900000000000001E-3</v>
      </c>
      <c r="G166" s="207">
        <f t="shared" si="27"/>
        <v>733431.05209397338</v>
      </c>
      <c r="H166" s="243">
        <f>222+93+154+242+258</f>
        <v>969</v>
      </c>
      <c r="I166" s="354"/>
      <c r="J166" s="354"/>
      <c r="K166" s="186">
        <f t="shared" si="28"/>
        <v>7180.2899999999991</v>
      </c>
      <c r="L166" s="321" t="e">
        <f t="shared" si="29"/>
        <v>#REF!</v>
      </c>
      <c r="M166" s="454"/>
      <c r="N166" s="319" t="e">
        <f>IF(ISNA(MATCH(C166,#REF!,0)),"",INDEX(#REF!,MATCH(C166,#REF!,0)))</f>
        <v>#REF!</v>
      </c>
      <c r="O166" s="113" t="e">
        <f>SUMIF(#REF!,C166,#REF!)</f>
        <v>#REF!</v>
      </c>
      <c r="P166" s="113" t="s">
        <v>22</v>
      </c>
    </row>
    <row r="167" spans="1:16" s="13" customFormat="1" ht="52" x14ac:dyDescent="0.25">
      <c r="A167" s="62"/>
      <c r="B167" s="134"/>
      <c r="C167" s="201" t="s">
        <v>1350</v>
      </c>
      <c r="D167" s="188" t="s">
        <v>213</v>
      </c>
      <c r="E167" s="183" t="s">
        <v>969</v>
      </c>
      <c r="F167" s="316">
        <v>1.944</v>
      </c>
      <c r="G167" s="207">
        <f t="shared" si="27"/>
        <v>126492.20679012345</v>
      </c>
      <c r="H167" s="243">
        <f>1875+8101+12395+2541+7134+382+757</f>
        <v>33185</v>
      </c>
      <c r="I167" s="354"/>
      <c r="J167" s="354"/>
      <c r="K167" s="186">
        <f t="shared" si="28"/>
        <v>245900.84999999998</v>
      </c>
      <c r="L167" s="321" t="e">
        <f t="shared" si="29"/>
        <v>#REF!</v>
      </c>
      <c r="M167" s="454"/>
      <c r="N167" s="123" t="e">
        <f>IF(ISNA(MATCH(C167,#REF!,0)),"",INDEX(#REF!,MATCH(C167,#REF!,0)))</f>
        <v>#REF!</v>
      </c>
      <c r="O167" s="124" t="e">
        <f>SUMIF(#REF!,C167,#REF!)</f>
        <v>#REF!</v>
      </c>
      <c r="P167" s="124" t="s">
        <v>22</v>
      </c>
    </row>
    <row r="168" spans="1:16" s="13" customFormat="1" ht="26" x14ac:dyDescent="0.25">
      <c r="A168" s="62"/>
      <c r="B168" s="134"/>
      <c r="C168" s="201" t="s">
        <v>1351</v>
      </c>
      <c r="D168" s="58" t="s">
        <v>223</v>
      </c>
      <c r="E168" s="183" t="s">
        <v>224</v>
      </c>
      <c r="F168" s="316">
        <v>0.04</v>
      </c>
      <c r="G168" s="207">
        <f t="shared" si="27"/>
        <v>33715.5</v>
      </c>
      <c r="H168" s="243">
        <v>182</v>
      </c>
      <c r="I168" s="354"/>
      <c r="J168" s="354"/>
      <c r="K168" s="186">
        <f t="shared" si="28"/>
        <v>1348.62</v>
      </c>
      <c r="L168" s="321" t="e">
        <f t="shared" si="29"/>
        <v>#REF!</v>
      </c>
      <c r="M168" s="454"/>
      <c r="N168" s="123" t="e">
        <f>IF(ISNA(MATCH(C168,#REF!,0)),"",INDEX(#REF!,MATCH(C168,#REF!,0)))</f>
        <v>#REF!</v>
      </c>
      <c r="O168" s="124" t="e">
        <f>SUMIF(#REF!,C168,#REF!)</f>
        <v>#REF!</v>
      </c>
      <c r="P168" s="124" t="s">
        <v>22</v>
      </c>
    </row>
    <row r="169" spans="1:16" s="13" customFormat="1" ht="26" x14ac:dyDescent="0.25">
      <c r="A169" s="62"/>
      <c r="B169" s="134"/>
      <c r="C169" s="201" t="s">
        <v>1352</v>
      </c>
      <c r="D169" s="58" t="s">
        <v>225</v>
      </c>
      <c r="E169" s="190" t="s">
        <v>969</v>
      </c>
      <c r="F169" s="316">
        <v>0.13300000000000001</v>
      </c>
      <c r="G169" s="207">
        <f t="shared" si="27"/>
        <v>104018.57142857141</v>
      </c>
      <c r="H169" s="243">
        <f>93+550+352+43+829</f>
        <v>1867</v>
      </c>
      <c r="I169" s="354"/>
      <c r="J169" s="354"/>
      <c r="K169" s="186">
        <f t="shared" si="28"/>
        <v>13834.469999999998</v>
      </c>
      <c r="L169" s="321" t="e">
        <f t="shared" si="29"/>
        <v>#REF!</v>
      </c>
      <c r="M169" s="454"/>
      <c r="N169" s="319" t="e">
        <f>IF(ISNA(MATCH(C169,#REF!,0)),"",INDEX(#REF!,MATCH(C169,#REF!,0)))</f>
        <v>#REF!</v>
      </c>
      <c r="O169" s="113" t="e">
        <f>SUMIF(#REF!,C169,#REF!)</f>
        <v>#REF!</v>
      </c>
      <c r="P169" s="113" t="s">
        <v>22</v>
      </c>
    </row>
    <row r="170" spans="1:16" s="13" customFormat="1" ht="39" x14ac:dyDescent="0.25">
      <c r="A170" s="62"/>
      <c r="B170" s="134"/>
      <c r="C170" s="201" t="s">
        <v>1353</v>
      </c>
      <c r="D170" s="226" t="s">
        <v>1166</v>
      </c>
      <c r="E170" s="183" t="s">
        <v>826</v>
      </c>
      <c r="F170" s="316">
        <v>2.65E-3</v>
      </c>
      <c r="G170" s="207">
        <f t="shared" si="27"/>
        <v>903181.13207547169</v>
      </c>
      <c r="H170" s="243">
        <f>29+139+43+64+48</f>
        <v>323</v>
      </c>
      <c r="I170" s="354"/>
      <c r="J170" s="354"/>
      <c r="K170" s="186">
        <f t="shared" si="28"/>
        <v>2393.4299999999998</v>
      </c>
      <c r="L170" s="321" t="e">
        <f t="shared" si="29"/>
        <v>#REF!</v>
      </c>
      <c r="M170" s="454"/>
      <c r="N170" s="123" t="e">
        <f>IF(ISNA(MATCH(C170,#REF!,0)),"",INDEX(#REF!,MATCH(C170,#REF!,0)))</f>
        <v>#REF!</v>
      </c>
      <c r="O170" s="124" t="e">
        <f>SUMIF(#REF!,C170,#REF!)</f>
        <v>#REF!</v>
      </c>
      <c r="P170" s="124" t="s">
        <v>22</v>
      </c>
    </row>
    <row r="171" spans="1:16" s="13" customFormat="1" ht="26" x14ac:dyDescent="0.25">
      <c r="A171" s="62"/>
      <c r="B171" s="134"/>
      <c r="C171" s="201" t="s">
        <v>1354</v>
      </c>
      <c r="D171" s="227" t="s">
        <v>829</v>
      </c>
      <c r="E171" s="200" t="s">
        <v>977</v>
      </c>
      <c r="F171" s="316">
        <v>1.196</v>
      </c>
      <c r="G171" s="207">
        <f t="shared" si="27"/>
        <v>23667.391304347824</v>
      </c>
      <c r="H171" s="243">
        <f>2823+349+648</f>
        <v>3820</v>
      </c>
      <c r="I171" s="354"/>
      <c r="J171" s="354"/>
      <c r="K171" s="186">
        <f t="shared" si="28"/>
        <v>28306.199999999997</v>
      </c>
      <c r="L171" s="321" t="e">
        <f t="shared" si="29"/>
        <v>#REF!</v>
      </c>
      <c r="M171" s="454"/>
      <c r="N171" s="131" t="e">
        <f>IF(ISNA(MATCH(C171,#REF!,0)),"",INDEX(#REF!,MATCH(C171,#REF!,0)))</f>
        <v>#REF!</v>
      </c>
      <c r="O171" s="114" t="e">
        <f>SUMIF(#REF!,C171,#REF!)</f>
        <v>#REF!</v>
      </c>
      <c r="P171" s="114" t="s">
        <v>22</v>
      </c>
    </row>
    <row r="172" spans="1:16" s="13" customFormat="1" ht="26" x14ac:dyDescent="0.25">
      <c r="A172" s="62"/>
      <c r="B172" s="134"/>
      <c r="C172" s="201" t="s">
        <v>1355</v>
      </c>
      <c r="D172" s="188" t="s">
        <v>832</v>
      </c>
      <c r="E172" s="183" t="s">
        <v>977</v>
      </c>
      <c r="F172" s="316">
        <v>1.196</v>
      </c>
      <c r="G172" s="207">
        <f t="shared" si="27"/>
        <v>2880.978260869565</v>
      </c>
      <c r="H172" s="243">
        <v>465</v>
      </c>
      <c r="I172" s="354"/>
      <c r="J172" s="354"/>
      <c r="K172" s="186">
        <f t="shared" si="28"/>
        <v>3445.6499999999996</v>
      </c>
      <c r="L172" s="321" t="e">
        <f t="shared" si="29"/>
        <v>#REF!</v>
      </c>
      <c r="M172" s="454"/>
      <c r="N172" s="123" t="e">
        <f>IF(ISNA(MATCH(C172,#REF!,0)),"",INDEX(#REF!,MATCH(C172,#REF!,0)))</f>
        <v>#REF!</v>
      </c>
      <c r="O172" s="124" t="e">
        <f>SUMIF(#REF!,C172,#REF!)</f>
        <v>#REF!</v>
      </c>
      <c r="P172" s="124" t="s">
        <v>22</v>
      </c>
    </row>
    <row r="173" spans="1:16" s="13" customFormat="1" ht="26" x14ac:dyDescent="0.25">
      <c r="A173" s="62"/>
      <c r="B173" s="134"/>
      <c r="C173" s="201" t="s">
        <v>1356</v>
      </c>
      <c r="D173" s="188" t="s">
        <v>833</v>
      </c>
      <c r="E173" s="183" t="s">
        <v>977</v>
      </c>
      <c r="F173" s="316">
        <v>1.196</v>
      </c>
      <c r="G173" s="207">
        <f t="shared" si="27"/>
        <v>10507.826086956522</v>
      </c>
      <c r="H173" s="243">
        <v>1696</v>
      </c>
      <c r="I173" s="354"/>
      <c r="J173" s="354"/>
      <c r="K173" s="186">
        <f t="shared" si="28"/>
        <v>12567.359999999999</v>
      </c>
      <c r="L173" s="321" t="e">
        <f t="shared" si="29"/>
        <v>#REF!</v>
      </c>
      <c r="M173" s="454"/>
      <c r="N173" s="123" t="e">
        <f>IF(ISNA(MATCH(C173,#REF!,0)),"",INDEX(#REF!,MATCH(C173,#REF!,0)))</f>
        <v>#REF!</v>
      </c>
      <c r="O173" s="124" t="e">
        <f>SUMIF(#REF!,C173,#REF!)</f>
        <v>#REF!</v>
      </c>
      <c r="P173" s="124" t="s">
        <v>22</v>
      </c>
    </row>
    <row r="174" spans="1:16" s="13" customFormat="1" ht="26" x14ac:dyDescent="0.25">
      <c r="A174" s="62"/>
      <c r="B174" s="128" t="s">
        <v>1040</v>
      </c>
      <c r="C174" s="213" t="s">
        <v>1357</v>
      </c>
      <c r="D174" s="60" t="s">
        <v>1041</v>
      </c>
      <c r="E174" s="214"/>
      <c r="F174" s="215"/>
      <c r="G174" s="211"/>
      <c r="H174" s="304">
        <f>SUM(H175:H180)</f>
        <v>304118</v>
      </c>
      <c r="I174" s="347"/>
      <c r="J174" s="347"/>
      <c r="K174" s="205">
        <f>SUM(K175:K180)</f>
        <v>2253514.38</v>
      </c>
      <c r="L174" s="205" t="e">
        <f>SUM(L175:L180)</f>
        <v>#REF!</v>
      </c>
      <c r="M174" s="454" t="s">
        <v>1164</v>
      </c>
      <c r="N174" s="136" t="e">
        <f>IF(ISNA(MATCH(C174,#REF!,0)),"",INDEX(#REF!,MATCH(C174,#REF!,0)))</f>
        <v>#REF!</v>
      </c>
      <c r="O174" s="137" t="e">
        <f>SUMIF(#REF!,C174,#REF!)</f>
        <v>#REF!</v>
      </c>
      <c r="P174" s="130" t="s">
        <v>23</v>
      </c>
    </row>
    <row r="175" spans="1:16" s="13" customFormat="1" ht="26" x14ac:dyDescent="0.25">
      <c r="A175" s="62"/>
      <c r="B175" s="134"/>
      <c r="C175" s="201" t="s">
        <v>1358</v>
      </c>
      <c r="D175" s="58" t="s">
        <v>1042</v>
      </c>
      <c r="E175" s="183" t="s">
        <v>1176</v>
      </c>
      <c r="F175" s="316">
        <v>11.6</v>
      </c>
      <c r="G175" s="207">
        <f t="shared" ref="G175:G180" si="30">K175/F175</f>
        <v>23837.842241379309</v>
      </c>
      <c r="H175" s="187">
        <f>9195+27418+705-1</f>
        <v>37317</v>
      </c>
      <c r="I175" s="244"/>
      <c r="J175" s="244"/>
      <c r="K175" s="186">
        <f t="shared" ref="K175:K180" si="31">H175*$C$4*$C$5</f>
        <v>276518.96999999997</v>
      </c>
      <c r="L175" s="321" t="e">
        <f t="shared" ref="L175:L180" si="32">IF(N175="поставка Заказчика",N175,K175)</f>
        <v>#REF!</v>
      </c>
      <c r="M175" s="454"/>
      <c r="N175" s="123" t="e">
        <f>IF(ISNA(MATCH(C175,#REF!,0)),"",INDEX(#REF!,MATCH(C175,#REF!,0)))</f>
        <v>#REF!</v>
      </c>
      <c r="O175" s="124" t="e">
        <f>SUMIF(#REF!,C175,#REF!)</f>
        <v>#REF!</v>
      </c>
      <c r="P175" s="124" t="s">
        <v>23</v>
      </c>
    </row>
    <row r="176" spans="1:16" s="13" customFormat="1" ht="39" x14ac:dyDescent="0.25">
      <c r="A176" s="62"/>
      <c r="B176" s="134"/>
      <c r="C176" s="201" t="s">
        <v>1359</v>
      </c>
      <c r="D176" s="58" t="s">
        <v>959</v>
      </c>
      <c r="E176" s="183" t="s">
        <v>970</v>
      </c>
      <c r="F176" s="316">
        <v>8</v>
      </c>
      <c r="G176" s="207">
        <f t="shared" si="30"/>
        <v>1098.5325</v>
      </c>
      <c r="H176" s="243">
        <v>1186</v>
      </c>
      <c r="I176" s="354"/>
      <c r="J176" s="354"/>
      <c r="K176" s="186">
        <f t="shared" si="31"/>
        <v>8788.26</v>
      </c>
      <c r="L176" s="321" t="e">
        <f t="shared" si="32"/>
        <v>#REF!</v>
      </c>
      <c r="M176" s="454"/>
      <c r="N176" s="123" t="e">
        <f>IF(ISNA(MATCH(C176,#REF!,0)),"",INDEX(#REF!,MATCH(C176,#REF!,0)))</f>
        <v>#REF!</v>
      </c>
      <c r="O176" s="124" t="e">
        <f>SUMIF(#REF!,C176,#REF!)</f>
        <v>#REF!</v>
      </c>
      <c r="P176" s="124" t="s">
        <v>23</v>
      </c>
    </row>
    <row r="177" spans="1:16" s="13" customFormat="1" ht="26" x14ac:dyDescent="0.25">
      <c r="A177" s="62"/>
      <c r="B177" s="134"/>
      <c r="C177" s="201" t="s">
        <v>1360</v>
      </c>
      <c r="D177" s="228" t="s">
        <v>212</v>
      </c>
      <c r="E177" s="183" t="s">
        <v>977</v>
      </c>
      <c r="F177" s="316">
        <v>1.3440000000000001</v>
      </c>
      <c r="G177" s="207">
        <f t="shared" si="30"/>
        <v>3953.102678571428</v>
      </c>
      <c r="H177" s="243">
        <f>337+337+43</f>
        <v>717</v>
      </c>
      <c r="I177" s="354"/>
      <c r="J177" s="354"/>
      <c r="K177" s="186">
        <f t="shared" si="31"/>
        <v>5312.9699999999993</v>
      </c>
      <c r="L177" s="321" t="e">
        <f t="shared" si="32"/>
        <v>#REF!</v>
      </c>
      <c r="M177" s="454"/>
      <c r="N177" s="123" t="e">
        <f>IF(ISNA(MATCH(C177,#REF!,0)),"",INDEX(#REF!,MATCH(C177,#REF!,0)))</f>
        <v>#REF!</v>
      </c>
      <c r="O177" s="124" t="e">
        <f>SUMIF(#REF!,C177,#REF!)</f>
        <v>#REF!</v>
      </c>
      <c r="P177" s="124" t="s">
        <v>23</v>
      </c>
    </row>
    <row r="178" spans="1:16" s="13" customFormat="1" ht="39" x14ac:dyDescent="0.25">
      <c r="A178" s="62"/>
      <c r="B178" s="134"/>
      <c r="C178" s="201" t="s">
        <v>1361</v>
      </c>
      <c r="D178" s="229" t="s">
        <v>961</v>
      </c>
      <c r="E178" s="230" t="s">
        <v>977</v>
      </c>
      <c r="F178" s="316">
        <v>0.28799999999999998</v>
      </c>
      <c r="G178" s="207">
        <f t="shared" si="30"/>
        <v>3267.604166666667</v>
      </c>
      <c r="H178" s="243">
        <f>51+76</f>
        <v>127</v>
      </c>
      <c r="I178" s="354"/>
      <c r="J178" s="354"/>
      <c r="K178" s="186">
        <f t="shared" si="31"/>
        <v>941.07</v>
      </c>
      <c r="L178" s="321" t="e">
        <f t="shared" si="32"/>
        <v>#REF!</v>
      </c>
      <c r="M178" s="454"/>
      <c r="N178" s="131" t="e">
        <f>IF(ISNA(MATCH(C178,#REF!,0)),"",INDEX(#REF!,MATCH(C178,#REF!,0)))</f>
        <v>#REF!</v>
      </c>
      <c r="O178" s="114" t="e">
        <f>SUMIF(#REF!,C178,#REF!)</f>
        <v>#REF!</v>
      </c>
      <c r="P178" s="114" t="s">
        <v>23</v>
      </c>
    </row>
    <row r="179" spans="1:16" s="13" customFormat="1" ht="26" x14ac:dyDescent="0.25">
      <c r="A179" s="62"/>
      <c r="B179" s="134"/>
      <c r="C179" s="201" t="s">
        <v>1362</v>
      </c>
      <c r="D179" s="58" t="s">
        <v>1043</v>
      </c>
      <c r="E179" s="193" t="s">
        <v>969</v>
      </c>
      <c r="F179" s="316">
        <v>0.85799999999999998</v>
      </c>
      <c r="G179" s="207">
        <f t="shared" si="30"/>
        <v>176864.09090909088</v>
      </c>
      <c r="H179" s="243">
        <f>2540+3716+3505+10718</f>
        <v>20479</v>
      </c>
      <c r="I179" s="354"/>
      <c r="J179" s="354"/>
      <c r="K179" s="186">
        <f t="shared" si="31"/>
        <v>151749.38999999998</v>
      </c>
      <c r="L179" s="321" t="e">
        <f t="shared" si="32"/>
        <v>#REF!</v>
      </c>
      <c r="M179" s="454"/>
      <c r="N179" s="123" t="e">
        <f>IF(ISNA(MATCH(C179,#REF!,0)),"",INDEX(#REF!,MATCH(C179,#REF!,0)))</f>
        <v>#REF!</v>
      </c>
      <c r="O179" s="124" t="e">
        <f>SUMIF(#REF!,C179,#REF!)</f>
        <v>#REF!</v>
      </c>
      <c r="P179" s="124" t="s">
        <v>23</v>
      </c>
    </row>
    <row r="180" spans="1:16" s="13" customFormat="1" ht="39" x14ac:dyDescent="0.25">
      <c r="A180" s="62"/>
      <c r="B180" s="134"/>
      <c r="C180" s="201" t="s">
        <v>1363</v>
      </c>
      <c r="D180" s="58" t="s">
        <v>1044</v>
      </c>
      <c r="E180" s="190" t="s">
        <v>969</v>
      </c>
      <c r="F180" s="316">
        <v>7.1660000000000004</v>
      </c>
      <c r="G180" s="207">
        <f t="shared" si="30"/>
        <v>252610.06419201783</v>
      </c>
      <c r="H180" s="243">
        <f>19551+224741</f>
        <v>244292</v>
      </c>
      <c r="I180" s="354"/>
      <c r="J180" s="354"/>
      <c r="K180" s="186">
        <f t="shared" si="31"/>
        <v>1810203.72</v>
      </c>
      <c r="L180" s="321" t="e">
        <f t="shared" si="32"/>
        <v>#REF!</v>
      </c>
      <c r="M180" s="454"/>
      <c r="N180" s="319" t="e">
        <f>IF(ISNA(MATCH(C180,#REF!,0)),"",INDEX(#REF!,MATCH(C180,#REF!,0)))</f>
        <v>#REF!</v>
      </c>
      <c r="O180" s="113" t="e">
        <f>SUMIF(#REF!,C180,#REF!)</f>
        <v>#REF!</v>
      </c>
      <c r="P180" s="113" t="s">
        <v>23</v>
      </c>
    </row>
    <row r="181" spans="1:16" s="13" customFormat="1" ht="26" x14ac:dyDescent="0.25">
      <c r="A181" s="62"/>
      <c r="B181" s="128" t="s">
        <v>1045</v>
      </c>
      <c r="C181" s="213" t="s">
        <v>1364</v>
      </c>
      <c r="D181" s="60" t="s">
        <v>1046</v>
      </c>
      <c r="E181" s="214"/>
      <c r="F181" s="215"/>
      <c r="G181" s="211"/>
      <c r="H181" s="304">
        <f>H182+H190</f>
        <v>12587</v>
      </c>
      <c r="I181" s="347"/>
      <c r="J181" s="347"/>
      <c r="K181" s="205">
        <f>K182+K190</f>
        <v>93269.669999999984</v>
      </c>
      <c r="L181" s="205" t="e">
        <f>L182+L190</f>
        <v>#REF!</v>
      </c>
      <c r="M181" s="454" t="s">
        <v>1164</v>
      </c>
      <c r="N181" s="136" t="e">
        <f>IF(ISNA(MATCH(C181,#REF!,0)),"",INDEX(#REF!,MATCH(C181,#REF!,0)))</f>
        <v>#REF!</v>
      </c>
      <c r="O181" s="137" t="e">
        <f>SUMIF(#REF!,C181,#REF!)</f>
        <v>#REF!</v>
      </c>
      <c r="P181" s="130" t="s">
        <v>24</v>
      </c>
    </row>
    <row r="182" spans="1:16" s="13" customFormat="1" x14ac:dyDescent="0.25">
      <c r="A182" s="62"/>
      <c r="B182" s="125"/>
      <c r="C182" s="216" t="s">
        <v>1365</v>
      </c>
      <c r="D182" s="232" t="s">
        <v>721</v>
      </c>
      <c r="E182" s="233"/>
      <c r="F182" s="234"/>
      <c r="G182" s="235"/>
      <c r="H182" s="301">
        <f>SUM(H183:H189)</f>
        <v>6979</v>
      </c>
      <c r="I182" s="343"/>
      <c r="J182" s="343"/>
      <c r="K182" s="236">
        <f>SUM(K183:K189)</f>
        <v>51714.389999999992</v>
      </c>
      <c r="L182" s="236" t="e">
        <f>SUM(L183:L189)</f>
        <v>#REF!</v>
      </c>
      <c r="M182" s="454"/>
      <c r="N182" s="126" t="e">
        <f>IF(ISNA(MATCH(C182,#REF!,0)),"",INDEX(#REF!,MATCH(C182,#REF!,0)))</f>
        <v>#REF!</v>
      </c>
      <c r="O182" s="127" t="e">
        <f>SUMIF(#REF!,C182,#REF!)</f>
        <v>#REF!</v>
      </c>
      <c r="P182" s="127" t="s">
        <v>24</v>
      </c>
    </row>
    <row r="183" spans="1:16" s="13" customFormat="1" ht="26" x14ac:dyDescent="0.25">
      <c r="A183" s="62"/>
      <c r="B183" s="134"/>
      <c r="C183" s="201" t="s">
        <v>1366</v>
      </c>
      <c r="D183" s="188" t="s">
        <v>1047</v>
      </c>
      <c r="E183" s="183" t="s">
        <v>970</v>
      </c>
      <c r="F183" s="316">
        <v>2</v>
      </c>
      <c r="G183" s="207">
        <f t="shared" ref="G183:G189" si="33">K183/F183</f>
        <v>841.03499999999985</v>
      </c>
      <c r="H183" s="243">
        <v>227</v>
      </c>
      <c r="I183" s="354"/>
      <c r="J183" s="354"/>
      <c r="K183" s="186">
        <f t="shared" ref="K183:K189" si="34">H183*$C$4*$C$5</f>
        <v>1682.0699999999997</v>
      </c>
      <c r="L183" s="321" t="e">
        <f t="shared" ref="L183:L189" si="35">IF(N183="поставка Заказчика",N183,K183)</f>
        <v>#REF!</v>
      </c>
      <c r="M183" s="454"/>
      <c r="N183" s="123" t="e">
        <f>IF(ISNA(MATCH(C183,#REF!,0)),"",INDEX(#REF!,MATCH(C183,#REF!,0)))</f>
        <v>#REF!</v>
      </c>
      <c r="O183" s="124" t="e">
        <f>SUMIF(#REF!,C183,#REF!)</f>
        <v>#REF!</v>
      </c>
      <c r="P183" s="124" t="s">
        <v>24</v>
      </c>
    </row>
    <row r="184" spans="1:16" s="13" customFormat="1" x14ac:dyDescent="0.25">
      <c r="A184" s="62"/>
      <c r="B184" s="134"/>
      <c r="C184" s="201" t="s">
        <v>1367</v>
      </c>
      <c r="D184" s="188" t="s">
        <v>1048</v>
      </c>
      <c r="E184" s="183" t="s">
        <v>970</v>
      </c>
      <c r="F184" s="316">
        <v>2</v>
      </c>
      <c r="G184" s="207">
        <f t="shared" si="33"/>
        <v>1244.8799999999999</v>
      </c>
      <c r="H184" s="243">
        <v>336</v>
      </c>
      <c r="I184" s="354"/>
      <c r="J184" s="354"/>
      <c r="K184" s="186">
        <f t="shared" si="34"/>
        <v>2489.7599999999998</v>
      </c>
      <c r="L184" s="321" t="e">
        <f t="shared" si="35"/>
        <v>#REF!</v>
      </c>
      <c r="M184" s="454"/>
      <c r="N184" s="123" t="e">
        <f>IF(ISNA(MATCH(C184,#REF!,0)),"",INDEX(#REF!,MATCH(C184,#REF!,0)))</f>
        <v>#REF!</v>
      </c>
      <c r="O184" s="124" t="e">
        <f>SUMIF(#REF!,C184,#REF!)</f>
        <v>#REF!</v>
      </c>
      <c r="P184" s="124" t="s">
        <v>24</v>
      </c>
    </row>
    <row r="185" spans="1:16" s="13" customFormat="1" ht="26" x14ac:dyDescent="0.25">
      <c r="A185" s="62"/>
      <c r="B185" s="134"/>
      <c r="C185" s="201" t="s">
        <v>1368</v>
      </c>
      <c r="D185" s="188" t="s">
        <v>1050</v>
      </c>
      <c r="E185" s="183" t="s">
        <v>970</v>
      </c>
      <c r="F185" s="316">
        <v>6</v>
      </c>
      <c r="G185" s="207">
        <f t="shared" si="33"/>
        <v>4379.3099999999995</v>
      </c>
      <c r="H185" s="243">
        <f>3547-1</f>
        <v>3546</v>
      </c>
      <c r="I185" s="354"/>
      <c r="J185" s="354"/>
      <c r="K185" s="186">
        <f t="shared" si="34"/>
        <v>26275.859999999997</v>
      </c>
      <c r="L185" s="321" t="e">
        <f t="shared" si="35"/>
        <v>#REF!</v>
      </c>
      <c r="M185" s="454"/>
      <c r="N185" s="123" t="e">
        <f>IF(ISNA(MATCH(C185,#REF!,0)),"",INDEX(#REF!,MATCH(C185,#REF!,0)))</f>
        <v>#REF!</v>
      </c>
      <c r="O185" s="124" t="e">
        <f>SUMIF(#REF!,C185,#REF!)</f>
        <v>#REF!</v>
      </c>
      <c r="P185" s="124" t="s">
        <v>24</v>
      </c>
    </row>
    <row r="186" spans="1:16" s="13" customFormat="1" ht="26" x14ac:dyDescent="0.25">
      <c r="A186" s="62"/>
      <c r="B186" s="134"/>
      <c r="C186" s="201" t="s">
        <v>1369</v>
      </c>
      <c r="D186" s="188" t="s">
        <v>1051</v>
      </c>
      <c r="E186" s="183" t="s">
        <v>948</v>
      </c>
      <c r="F186" s="316">
        <v>9.7000000000000003E-2</v>
      </c>
      <c r="G186" s="207">
        <f t="shared" si="33"/>
        <v>17417.319587628863</v>
      </c>
      <c r="H186" s="243">
        <v>228</v>
      </c>
      <c r="I186" s="354"/>
      <c r="J186" s="354"/>
      <c r="K186" s="186">
        <f t="shared" si="34"/>
        <v>1689.4799999999998</v>
      </c>
      <c r="L186" s="321" t="e">
        <f t="shared" si="35"/>
        <v>#REF!</v>
      </c>
      <c r="M186" s="454"/>
      <c r="N186" s="123" t="e">
        <f>IF(ISNA(MATCH(C186,#REF!,0)),"",INDEX(#REF!,MATCH(C186,#REF!,0)))</f>
        <v>#REF!</v>
      </c>
      <c r="O186" s="124" t="e">
        <f>SUMIF(#REF!,C186,#REF!)</f>
        <v>#REF!</v>
      </c>
      <c r="P186" s="124" t="s">
        <v>24</v>
      </c>
    </row>
    <row r="187" spans="1:16" s="13" customFormat="1" ht="26" x14ac:dyDescent="0.25">
      <c r="A187" s="62"/>
      <c r="B187" s="134"/>
      <c r="C187" s="201" t="s">
        <v>1370</v>
      </c>
      <c r="D187" s="188" t="s">
        <v>1052</v>
      </c>
      <c r="E187" s="183" t="s">
        <v>948</v>
      </c>
      <c r="F187" s="316">
        <f>0.12+0.16+0.1468</f>
        <v>0.42680000000000007</v>
      </c>
      <c r="G187" s="207">
        <f t="shared" si="33"/>
        <v>21059.817244611055</v>
      </c>
      <c r="H187" s="243">
        <f>331+449+433</f>
        <v>1213</v>
      </c>
      <c r="I187" s="354"/>
      <c r="J187" s="354"/>
      <c r="K187" s="186">
        <f t="shared" si="34"/>
        <v>8988.33</v>
      </c>
      <c r="L187" s="321" t="e">
        <f t="shared" si="35"/>
        <v>#REF!</v>
      </c>
      <c r="M187" s="454"/>
      <c r="N187" s="123" t="e">
        <f>IF(ISNA(MATCH(C187,#REF!,0)),"",INDEX(#REF!,MATCH(C187,#REF!,0)))</f>
        <v>#REF!</v>
      </c>
      <c r="O187" s="124" t="e">
        <f>SUMIF(#REF!,C187,#REF!)</f>
        <v>#REF!</v>
      </c>
      <c r="P187" s="124" t="s">
        <v>24</v>
      </c>
    </row>
    <row r="188" spans="1:16" s="13" customFormat="1" ht="26" x14ac:dyDescent="0.25">
      <c r="A188" s="62"/>
      <c r="B188" s="134"/>
      <c r="C188" s="201" t="s">
        <v>1371</v>
      </c>
      <c r="D188" s="188" t="s">
        <v>1053</v>
      </c>
      <c r="E188" s="183" t="s">
        <v>948</v>
      </c>
      <c r="F188" s="316">
        <f>0.16+0.2+0.277</f>
        <v>0.63700000000000001</v>
      </c>
      <c r="G188" s="207">
        <f t="shared" si="33"/>
        <v>8084.6938775510198</v>
      </c>
      <c r="H188" s="243">
        <f>168+215+312</f>
        <v>695</v>
      </c>
      <c r="I188" s="354"/>
      <c r="J188" s="354"/>
      <c r="K188" s="186">
        <f t="shared" si="34"/>
        <v>5149.95</v>
      </c>
      <c r="L188" s="321" t="e">
        <f t="shared" si="35"/>
        <v>#REF!</v>
      </c>
      <c r="M188" s="454"/>
      <c r="N188" s="123" t="e">
        <f>IF(ISNA(MATCH(C188,#REF!,0)),"",INDEX(#REF!,MATCH(C188,#REF!,0)))</f>
        <v>#REF!</v>
      </c>
      <c r="O188" s="124" t="e">
        <f>SUMIF(#REF!,C188,#REF!)</f>
        <v>#REF!</v>
      </c>
      <c r="P188" s="124" t="s">
        <v>24</v>
      </c>
    </row>
    <row r="189" spans="1:16" s="13" customFormat="1" ht="52" x14ac:dyDescent="0.25">
      <c r="A189" s="62"/>
      <c r="B189" s="134"/>
      <c r="C189" s="201" t="s">
        <v>1372</v>
      </c>
      <c r="D189" s="188" t="s">
        <v>1054</v>
      </c>
      <c r="E189" s="183" t="s">
        <v>970</v>
      </c>
      <c r="F189" s="316">
        <v>16</v>
      </c>
      <c r="G189" s="207">
        <f t="shared" si="33"/>
        <v>339.93374999999997</v>
      </c>
      <c r="H189" s="243">
        <f>696+38</f>
        <v>734</v>
      </c>
      <c r="I189" s="354"/>
      <c r="J189" s="354"/>
      <c r="K189" s="186">
        <f t="shared" si="34"/>
        <v>5438.94</v>
      </c>
      <c r="L189" s="321" t="e">
        <f t="shared" si="35"/>
        <v>#REF!</v>
      </c>
      <c r="M189" s="454"/>
      <c r="N189" s="123" t="e">
        <f>IF(ISNA(MATCH(C189,#REF!,0)),"",INDEX(#REF!,MATCH(C189,#REF!,0)))</f>
        <v>#REF!</v>
      </c>
      <c r="O189" s="124" t="e">
        <f>SUMIF(#REF!,C189,#REF!)</f>
        <v>#REF!</v>
      </c>
      <c r="P189" s="124" t="s">
        <v>24</v>
      </c>
    </row>
    <row r="190" spans="1:16" s="13" customFormat="1" x14ac:dyDescent="0.25">
      <c r="A190" s="62"/>
      <c r="B190" s="134"/>
      <c r="C190" s="216" t="s">
        <v>1373</v>
      </c>
      <c r="D190" s="232" t="s">
        <v>1064</v>
      </c>
      <c r="E190" s="233"/>
      <c r="F190" s="234"/>
      <c r="G190" s="235"/>
      <c r="H190" s="301">
        <f>SUM(H191:H202)</f>
        <v>5608</v>
      </c>
      <c r="I190" s="343"/>
      <c r="J190" s="343"/>
      <c r="K190" s="236">
        <f>SUM(K191:K202)</f>
        <v>41555.279999999992</v>
      </c>
      <c r="L190" s="236" t="e">
        <f>SUM(L191:L202)</f>
        <v>#REF!</v>
      </c>
      <c r="M190" s="454"/>
      <c r="N190" s="126" t="e">
        <f>IF(ISNA(MATCH(C190,#REF!,0)),"",INDEX(#REF!,MATCH(C190,#REF!,0)))</f>
        <v>#REF!</v>
      </c>
      <c r="O190" s="127" t="e">
        <f>SUMIF(#REF!,C190,#REF!)</f>
        <v>#REF!</v>
      </c>
      <c r="P190" s="127" t="s">
        <v>24</v>
      </c>
    </row>
    <row r="191" spans="1:16" s="13" customFormat="1" x14ac:dyDescent="0.25">
      <c r="A191" s="62"/>
      <c r="B191" s="134"/>
      <c r="C191" s="201" t="s">
        <v>1374</v>
      </c>
      <c r="D191" s="58" t="s">
        <v>1049</v>
      </c>
      <c r="E191" s="601" t="s">
        <v>947</v>
      </c>
      <c r="F191" s="316">
        <v>6</v>
      </c>
      <c r="G191" s="207">
        <f t="shared" ref="G191:G202" si="36">K191/F191</f>
        <v>3661.7749999999996</v>
      </c>
      <c r="H191" s="191">
        <v>2965</v>
      </c>
      <c r="I191" s="346"/>
      <c r="J191" s="346"/>
      <c r="K191" s="186">
        <f t="shared" ref="K191:K202" si="37">H191*$C$4*$C$5</f>
        <v>21970.649999999998</v>
      </c>
      <c r="L191" s="321" t="e">
        <f t="shared" ref="L191:L202" si="38">IF(N191="поставка Заказчика",N191,K191)</f>
        <v>#REF!</v>
      </c>
      <c r="M191" s="454"/>
      <c r="N191" s="319" t="e">
        <f>IF(ISNA(MATCH(C191,#REF!,0)),"",INDEX(#REF!,MATCH(C191,#REF!,0)))</f>
        <v>#REF!</v>
      </c>
      <c r="O191" s="113" t="e">
        <f>SUMIF(#REF!,C191,#REF!)</f>
        <v>#REF!</v>
      </c>
      <c r="P191" s="113" t="s">
        <v>24</v>
      </c>
    </row>
    <row r="192" spans="1:16" s="13" customFormat="1" x14ac:dyDescent="0.25">
      <c r="A192" s="62"/>
      <c r="B192" s="134"/>
      <c r="C192" s="201" t="s">
        <v>1375</v>
      </c>
      <c r="D192" s="58" t="s">
        <v>1055</v>
      </c>
      <c r="E192" s="601" t="s">
        <v>947</v>
      </c>
      <c r="F192" s="316">
        <v>6</v>
      </c>
      <c r="G192" s="207">
        <f t="shared" si="36"/>
        <v>1474.59</v>
      </c>
      <c r="H192" s="191">
        <v>1194</v>
      </c>
      <c r="I192" s="346"/>
      <c r="J192" s="346"/>
      <c r="K192" s="186">
        <f t="shared" si="37"/>
        <v>8847.5399999999991</v>
      </c>
      <c r="L192" s="321" t="e">
        <f t="shared" si="38"/>
        <v>#REF!</v>
      </c>
      <c r="M192" s="454"/>
      <c r="N192" s="319" t="e">
        <f>IF(ISNA(MATCH(C192,#REF!,0)),"",INDEX(#REF!,MATCH(C192,#REF!,0)))</f>
        <v>#REF!</v>
      </c>
      <c r="O192" s="113" t="e">
        <f>SUMIF(#REF!,C192,#REF!)</f>
        <v>#REF!</v>
      </c>
      <c r="P192" s="113" t="s">
        <v>24</v>
      </c>
    </row>
    <row r="193" spans="1:16" s="13" customFormat="1" ht="26" x14ac:dyDescent="0.25">
      <c r="A193" s="62"/>
      <c r="B193" s="141"/>
      <c r="C193" s="201" t="s">
        <v>1376</v>
      </c>
      <c r="D193" s="58" t="s">
        <v>1047</v>
      </c>
      <c r="E193" s="601" t="s">
        <v>947</v>
      </c>
      <c r="F193" s="316">
        <v>2</v>
      </c>
      <c r="G193" s="207">
        <f t="shared" si="36"/>
        <v>333.45</v>
      </c>
      <c r="H193" s="191">
        <v>90</v>
      </c>
      <c r="I193" s="346"/>
      <c r="J193" s="346"/>
      <c r="K193" s="186">
        <f t="shared" si="37"/>
        <v>666.9</v>
      </c>
      <c r="L193" s="321" t="e">
        <f t="shared" si="38"/>
        <v>#REF!</v>
      </c>
      <c r="M193" s="454"/>
      <c r="N193" s="319" t="e">
        <f>IF(ISNA(MATCH(C193,#REF!,0)),"",INDEX(#REF!,MATCH(C193,#REF!,0)))</f>
        <v>#REF!</v>
      </c>
      <c r="O193" s="113" t="e">
        <f>SUMIF(#REF!,C193,#REF!)</f>
        <v>#REF!</v>
      </c>
      <c r="P193" s="113" t="s">
        <v>24</v>
      </c>
    </row>
    <row r="194" spans="1:16" s="13" customFormat="1" ht="26" x14ac:dyDescent="0.25">
      <c r="A194" s="62"/>
      <c r="B194" s="147"/>
      <c r="C194" s="201" t="s">
        <v>1377</v>
      </c>
      <c r="D194" s="58" t="s">
        <v>1056</v>
      </c>
      <c r="E194" s="244" t="s">
        <v>971</v>
      </c>
      <c r="F194" s="208">
        <v>50</v>
      </c>
      <c r="G194" s="207">
        <f t="shared" si="36"/>
        <v>25.786799999999999</v>
      </c>
      <c r="H194" s="191">
        <v>174</v>
      </c>
      <c r="I194" s="346"/>
      <c r="J194" s="346"/>
      <c r="K194" s="186">
        <f t="shared" si="37"/>
        <v>1289.3399999999999</v>
      </c>
      <c r="L194" s="321" t="e">
        <f t="shared" si="38"/>
        <v>#REF!</v>
      </c>
      <c r="M194" s="454"/>
      <c r="N194" s="131" t="e">
        <f>IF(ISNA(MATCH(C194,#REF!,0)),"",INDEX(#REF!,MATCH(C194,#REF!,0)))</f>
        <v>#REF!</v>
      </c>
      <c r="O194" s="114" t="e">
        <f>SUMIF(#REF!,C194,#REF!)</f>
        <v>#REF!</v>
      </c>
      <c r="P194" s="114" t="s">
        <v>24</v>
      </c>
    </row>
    <row r="195" spans="1:16" s="13" customFormat="1" ht="39" x14ac:dyDescent="0.25">
      <c r="A195" s="62"/>
      <c r="B195" s="147"/>
      <c r="C195" s="201" t="s">
        <v>1378</v>
      </c>
      <c r="D195" s="58" t="s">
        <v>1057</v>
      </c>
      <c r="E195" s="244" t="s">
        <v>840</v>
      </c>
      <c r="F195" s="208">
        <v>1.4999999999999999E-2</v>
      </c>
      <c r="G195" s="207">
        <f t="shared" si="36"/>
        <v>53352</v>
      </c>
      <c r="H195" s="191">
        <v>108</v>
      </c>
      <c r="I195" s="346"/>
      <c r="J195" s="346"/>
      <c r="K195" s="186">
        <f t="shared" si="37"/>
        <v>800.28</v>
      </c>
      <c r="L195" s="321" t="e">
        <f t="shared" si="38"/>
        <v>#REF!</v>
      </c>
      <c r="M195" s="454"/>
      <c r="N195" s="131" t="e">
        <f>IF(ISNA(MATCH(C195,#REF!,0)),"",INDEX(#REF!,MATCH(C195,#REF!,0)))</f>
        <v>#REF!</v>
      </c>
      <c r="O195" s="114" t="e">
        <f>SUMIF(#REF!,C195,#REF!)</f>
        <v>#REF!</v>
      </c>
      <c r="P195" s="114" t="s">
        <v>24</v>
      </c>
    </row>
    <row r="196" spans="1:16" s="13" customFormat="1" ht="39" x14ac:dyDescent="0.25">
      <c r="A196" s="62"/>
      <c r="B196" s="147"/>
      <c r="C196" s="201" t="s">
        <v>1379</v>
      </c>
      <c r="D196" s="58" t="s">
        <v>1058</v>
      </c>
      <c r="E196" s="244" t="s">
        <v>971</v>
      </c>
      <c r="F196" s="208">
        <v>44</v>
      </c>
      <c r="G196" s="245">
        <f t="shared" si="36"/>
        <v>103.74</v>
      </c>
      <c r="H196" s="191">
        <v>616</v>
      </c>
      <c r="I196" s="346"/>
      <c r="J196" s="346"/>
      <c r="K196" s="186">
        <f t="shared" si="37"/>
        <v>4564.5599999999995</v>
      </c>
      <c r="L196" s="321" t="e">
        <f t="shared" si="38"/>
        <v>#REF!</v>
      </c>
      <c r="M196" s="454"/>
      <c r="N196" s="131" t="e">
        <f>IF(ISNA(MATCH(C196,#REF!,0)),"",INDEX(#REF!,MATCH(C196,#REF!,0)))</f>
        <v>#REF!</v>
      </c>
      <c r="O196" s="114" t="e">
        <f>SUMIF(#REF!,C196,#REF!)</f>
        <v>#REF!</v>
      </c>
      <c r="P196" s="114" t="s">
        <v>24</v>
      </c>
    </row>
    <row r="197" spans="1:16" s="13" customFormat="1" x14ac:dyDescent="0.25">
      <c r="A197" s="62"/>
      <c r="B197" s="147"/>
      <c r="C197" s="201" t="s">
        <v>1380</v>
      </c>
      <c r="D197" s="58" t="s">
        <v>1048</v>
      </c>
      <c r="E197" s="244" t="s">
        <v>970</v>
      </c>
      <c r="F197" s="208">
        <v>2</v>
      </c>
      <c r="G197" s="245">
        <f t="shared" si="36"/>
        <v>774.34500000000003</v>
      </c>
      <c r="H197" s="191">
        <v>209</v>
      </c>
      <c r="I197" s="346"/>
      <c r="J197" s="346"/>
      <c r="K197" s="186">
        <f t="shared" si="37"/>
        <v>1548.69</v>
      </c>
      <c r="L197" s="321" t="e">
        <f t="shared" si="38"/>
        <v>#REF!</v>
      </c>
      <c r="M197" s="454"/>
      <c r="N197" s="131" t="e">
        <f>IF(ISNA(MATCH(C197,#REF!,0)),"",INDEX(#REF!,MATCH(C197,#REF!,0)))</f>
        <v>#REF!</v>
      </c>
      <c r="O197" s="114" t="e">
        <f>SUMIF(#REF!,C197,#REF!)</f>
        <v>#REF!</v>
      </c>
      <c r="P197" s="114" t="s">
        <v>24</v>
      </c>
    </row>
    <row r="198" spans="1:16" s="13" customFormat="1" x14ac:dyDescent="0.25">
      <c r="A198" s="62"/>
      <c r="B198" s="147"/>
      <c r="C198" s="201" t="s">
        <v>1381</v>
      </c>
      <c r="D198" s="58" t="s">
        <v>1059</v>
      </c>
      <c r="E198" s="244" t="s">
        <v>970</v>
      </c>
      <c r="F198" s="208">
        <v>2</v>
      </c>
      <c r="G198" s="245">
        <f t="shared" si="36"/>
        <v>144.49499999999998</v>
      </c>
      <c r="H198" s="191">
        <v>39</v>
      </c>
      <c r="I198" s="346"/>
      <c r="J198" s="346"/>
      <c r="K198" s="186">
        <f t="shared" si="37"/>
        <v>288.98999999999995</v>
      </c>
      <c r="L198" s="321" t="e">
        <f t="shared" si="38"/>
        <v>#REF!</v>
      </c>
      <c r="M198" s="454"/>
      <c r="N198" s="131" t="e">
        <f>IF(ISNA(MATCH(C198,#REF!,0)),"",INDEX(#REF!,MATCH(C198,#REF!,0)))</f>
        <v>#REF!</v>
      </c>
      <c r="O198" s="114" t="e">
        <f>SUMIF(#REF!,C198,#REF!)</f>
        <v>#REF!</v>
      </c>
      <c r="P198" s="114" t="s">
        <v>24</v>
      </c>
    </row>
    <row r="199" spans="1:16" s="13" customFormat="1" x14ac:dyDescent="0.25">
      <c r="A199" s="62"/>
      <c r="B199" s="147"/>
      <c r="C199" s="201" t="s">
        <v>1382</v>
      </c>
      <c r="D199" s="58" t="s">
        <v>1060</v>
      </c>
      <c r="E199" s="244" t="s">
        <v>970</v>
      </c>
      <c r="F199" s="208">
        <v>1</v>
      </c>
      <c r="G199" s="245">
        <f t="shared" si="36"/>
        <v>214.88999999999996</v>
      </c>
      <c r="H199" s="191">
        <v>29</v>
      </c>
      <c r="I199" s="346"/>
      <c r="J199" s="346"/>
      <c r="K199" s="186">
        <f t="shared" si="37"/>
        <v>214.88999999999996</v>
      </c>
      <c r="L199" s="321" t="e">
        <f t="shared" si="38"/>
        <v>#REF!</v>
      </c>
      <c r="M199" s="454"/>
      <c r="N199" s="131" t="e">
        <f>IF(ISNA(MATCH(C199,#REF!,0)),"",INDEX(#REF!,MATCH(C199,#REF!,0)))</f>
        <v>#REF!</v>
      </c>
      <c r="O199" s="114" t="e">
        <f>SUMIF(#REF!,C199,#REF!)</f>
        <v>#REF!</v>
      </c>
      <c r="P199" s="114" t="s">
        <v>24</v>
      </c>
    </row>
    <row r="200" spans="1:16" s="13" customFormat="1" x14ac:dyDescent="0.25">
      <c r="A200" s="62"/>
      <c r="B200" s="147"/>
      <c r="C200" s="201" t="s">
        <v>1383</v>
      </c>
      <c r="D200" s="58" t="s">
        <v>1061</v>
      </c>
      <c r="E200" s="244" t="s">
        <v>971</v>
      </c>
      <c r="F200" s="208">
        <v>10</v>
      </c>
      <c r="G200" s="245">
        <f t="shared" si="36"/>
        <v>119.301</v>
      </c>
      <c r="H200" s="191">
        <v>161</v>
      </c>
      <c r="I200" s="346"/>
      <c r="J200" s="346"/>
      <c r="K200" s="186">
        <f t="shared" si="37"/>
        <v>1193.01</v>
      </c>
      <c r="L200" s="321" t="e">
        <f t="shared" si="38"/>
        <v>#REF!</v>
      </c>
      <c r="M200" s="454"/>
      <c r="N200" s="131" t="e">
        <f>IF(ISNA(MATCH(C200,#REF!,0)),"",INDEX(#REF!,MATCH(C200,#REF!,0)))</f>
        <v>#REF!</v>
      </c>
      <c r="O200" s="114" t="e">
        <f>SUMIF(#REF!,C200,#REF!)</f>
        <v>#REF!</v>
      </c>
      <c r="P200" s="114" t="s">
        <v>24</v>
      </c>
    </row>
    <row r="201" spans="1:16" s="13" customFormat="1" x14ac:dyDescent="0.25">
      <c r="A201" s="62"/>
      <c r="B201" s="147"/>
      <c r="C201" s="201" t="s">
        <v>1384</v>
      </c>
      <c r="D201" s="58" t="s">
        <v>1062</v>
      </c>
      <c r="E201" s="244" t="s">
        <v>1065</v>
      </c>
      <c r="F201" s="208">
        <v>1.2</v>
      </c>
      <c r="G201" s="245">
        <f t="shared" si="36"/>
        <v>98.8</v>
      </c>
      <c r="H201" s="191">
        <v>16</v>
      </c>
      <c r="I201" s="346"/>
      <c r="J201" s="346"/>
      <c r="K201" s="186">
        <f t="shared" si="37"/>
        <v>118.55999999999999</v>
      </c>
      <c r="L201" s="321" t="e">
        <f t="shared" si="38"/>
        <v>#REF!</v>
      </c>
      <c r="M201" s="454"/>
      <c r="N201" s="131" t="e">
        <f>IF(ISNA(MATCH(C201,#REF!,0)),"",INDEX(#REF!,MATCH(C201,#REF!,0)))</f>
        <v>#REF!</v>
      </c>
      <c r="O201" s="114" t="e">
        <f>SUMIF(#REF!,C201,#REF!)</f>
        <v>#REF!</v>
      </c>
      <c r="P201" s="114" t="s">
        <v>24</v>
      </c>
    </row>
    <row r="202" spans="1:16" s="13" customFormat="1" x14ac:dyDescent="0.25">
      <c r="A202" s="62"/>
      <c r="B202" s="147"/>
      <c r="C202" s="201" t="s">
        <v>1385</v>
      </c>
      <c r="D202" s="58" t="s">
        <v>1063</v>
      </c>
      <c r="E202" s="244" t="s">
        <v>970</v>
      </c>
      <c r="F202" s="208">
        <v>8</v>
      </c>
      <c r="G202" s="245">
        <f t="shared" si="36"/>
        <v>6.4837499999999997</v>
      </c>
      <c r="H202" s="191">
        <v>7</v>
      </c>
      <c r="I202" s="346"/>
      <c r="J202" s="346"/>
      <c r="K202" s="186">
        <f t="shared" si="37"/>
        <v>51.87</v>
      </c>
      <c r="L202" s="321" t="e">
        <f t="shared" si="38"/>
        <v>#REF!</v>
      </c>
      <c r="M202" s="454"/>
      <c r="N202" s="131" t="e">
        <f>IF(ISNA(MATCH(C202,#REF!,0)),"",INDEX(#REF!,MATCH(C202,#REF!,0)))</f>
        <v>#REF!</v>
      </c>
      <c r="O202" s="114" t="e">
        <f>SUMIF(#REF!,C202,#REF!)</f>
        <v>#REF!</v>
      </c>
      <c r="P202" s="114" t="s">
        <v>24</v>
      </c>
    </row>
    <row r="203" spans="1:16" s="13" customFormat="1" ht="65" x14ac:dyDescent="0.25">
      <c r="A203" s="62"/>
      <c r="B203" s="128" t="s">
        <v>1066</v>
      </c>
      <c r="C203" s="213" t="s">
        <v>1386</v>
      </c>
      <c r="D203" s="60" t="s">
        <v>1067</v>
      </c>
      <c r="E203" s="214"/>
      <c r="F203" s="215"/>
      <c r="G203" s="211"/>
      <c r="H203" s="304">
        <f>SUM(H204:H219)</f>
        <v>54809</v>
      </c>
      <c r="I203" s="347"/>
      <c r="J203" s="347"/>
      <c r="K203" s="205">
        <f>SUM(K204:K219)</f>
        <v>406134.69</v>
      </c>
      <c r="L203" s="205" t="e">
        <f>SUM(L204:L219)</f>
        <v>#REF!</v>
      </c>
      <c r="M203" s="454" t="s">
        <v>1164</v>
      </c>
      <c r="N203" s="136" t="e">
        <f>IF(ISNA(MATCH(C203,#REF!,0)),"",INDEX(#REF!,MATCH(C203,#REF!,0)))</f>
        <v>#REF!</v>
      </c>
      <c r="O203" s="137" t="e">
        <f>SUMIF(#REF!,C203,#REF!)</f>
        <v>#REF!</v>
      </c>
      <c r="P203" s="130" t="s">
        <v>25</v>
      </c>
    </row>
    <row r="204" spans="1:16" s="13" customFormat="1" ht="26" x14ac:dyDescent="0.25">
      <c r="A204" s="62"/>
      <c r="B204" s="134"/>
      <c r="C204" s="201" t="s">
        <v>1387</v>
      </c>
      <c r="D204" s="58" t="s">
        <v>1068</v>
      </c>
      <c r="E204" s="190" t="s">
        <v>1069</v>
      </c>
      <c r="F204" s="316">
        <v>3.3</v>
      </c>
      <c r="G204" s="207">
        <f t="shared" ref="G204:G219" si="39">K204/F204</f>
        <v>23449.281818181815</v>
      </c>
      <c r="H204" s="243">
        <f>2289+7800+353+1</f>
        <v>10443</v>
      </c>
      <c r="I204" s="354"/>
      <c r="J204" s="354"/>
      <c r="K204" s="186">
        <f t="shared" ref="K204:K219" si="40">H204*$C$4*$C$5</f>
        <v>77382.62999999999</v>
      </c>
      <c r="L204" s="321" t="e">
        <f t="shared" ref="L204:L219" si="41">IF(N204="поставка Заказчика",N204,K204)</f>
        <v>#REF!</v>
      </c>
      <c r="M204" s="454"/>
      <c r="N204" s="319" t="e">
        <f>IF(ISNA(MATCH(C204,#REF!,0)),"",INDEX(#REF!,MATCH(C204,#REF!,0)))</f>
        <v>#REF!</v>
      </c>
      <c r="O204" s="113" t="e">
        <f>SUMIF(#REF!,C204,#REF!)</f>
        <v>#REF!</v>
      </c>
      <c r="P204" s="113" t="s">
        <v>25</v>
      </c>
    </row>
    <row r="205" spans="1:16" s="13" customFormat="1" ht="39" x14ac:dyDescent="0.25">
      <c r="A205" s="62"/>
      <c r="B205" s="147"/>
      <c r="C205" s="201" t="s">
        <v>1388</v>
      </c>
      <c r="D205" s="58" t="s">
        <v>959</v>
      </c>
      <c r="E205" s="183" t="s">
        <v>970</v>
      </c>
      <c r="F205" s="208">
        <v>6</v>
      </c>
      <c r="G205" s="207">
        <f t="shared" si="39"/>
        <v>1097.915</v>
      </c>
      <c r="H205" s="191">
        <v>889</v>
      </c>
      <c r="I205" s="346"/>
      <c r="J205" s="346"/>
      <c r="K205" s="186">
        <f t="shared" si="40"/>
        <v>6587.49</v>
      </c>
      <c r="L205" s="321" t="e">
        <f t="shared" si="41"/>
        <v>#REF!</v>
      </c>
      <c r="M205" s="454"/>
      <c r="N205" s="123" t="e">
        <f>IF(ISNA(MATCH(C205,#REF!,0)),"",INDEX(#REF!,MATCH(C205,#REF!,0)))</f>
        <v>#REF!</v>
      </c>
      <c r="O205" s="124" t="e">
        <f>SUMIF(#REF!,C205,#REF!)</f>
        <v>#REF!</v>
      </c>
      <c r="P205" s="124" t="s">
        <v>25</v>
      </c>
    </row>
    <row r="206" spans="1:16" s="13" customFormat="1" ht="26" x14ac:dyDescent="0.25">
      <c r="A206" s="62"/>
      <c r="B206" s="147"/>
      <c r="C206" s="201" t="s">
        <v>1389</v>
      </c>
      <c r="D206" s="228" t="s">
        <v>212</v>
      </c>
      <c r="E206" s="183" t="s">
        <v>977</v>
      </c>
      <c r="F206" s="316">
        <v>0.432</v>
      </c>
      <c r="G206" s="207">
        <f t="shared" si="39"/>
        <v>3962.2916666666661</v>
      </c>
      <c r="H206" s="191">
        <f>109+109+13</f>
        <v>231</v>
      </c>
      <c r="I206" s="346"/>
      <c r="J206" s="346"/>
      <c r="K206" s="186">
        <f t="shared" si="40"/>
        <v>1711.7099999999998</v>
      </c>
      <c r="L206" s="321" t="e">
        <f t="shared" si="41"/>
        <v>#REF!</v>
      </c>
      <c r="M206" s="454"/>
      <c r="N206" s="123" t="e">
        <f>IF(ISNA(MATCH(C206,#REF!,0)),"",INDEX(#REF!,MATCH(C206,#REF!,0)))</f>
        <v>#REF!</v>
      </c>
      <c r="O206" s="124" t="e">
        <f>SUMIF(#REF!,C206,#REF!)</f>
        <v>#REF!</v>
      </c>
      <c r="P206" s="124" t="s">
        <v>25</v>
      </c>
    </row>
    <row r="207" spans="1:16" s="13" customFormat="1" ht="39" x14ac:dyDescent="0.25">
      <c r="A207" s="62"/>
      <c r="B207" s="147"/>
      <c r="C207" s="201" t="s">
        <v>1390</v>
      </c>
      <c r="D207" s="229" t="s">
        <v>961</v>
      </c>
      <c r="E207" s="230" t="s">
        <v>977</v>
      </c>
      <c r="F207" s="316">
        <v>0.216</v>
      </c>
      <c r="G207" s="207">
        <f t="shared" si="39"/>
        <v>2607.2222222222217</v>
      </c>
      <c r="H207" s="191">
        <f>38+38</f>
        <v>76</v>
      </c>
      <c r="I207" s="346"/>
      <c r="J207" s="346"/>
      <c r="K207" s="186">
        <f t="shared" si="40"/>
        <v>563.15999999999985</v>
      </c>
      <c r="L207" s="321" t="e">
        <f t="shared" si="41"/>
        <v>#REF!</v>
      </c>
      <c r="M207" s="454"/>
      <c r="N207" s="131" t="e">
        <f>IF(ISNA(MATCH(C207,#REF!,0)),"",INDEX(#REF!,MATCH(C207,#REF!,0)))</f>
        <v>#REF!</v>
      </c>
      <c r="O207" s="114" t="e">
        <f>SUMIF(#REF!,C207,#REF!)</f>
        <v>#REF!</v>
      </c>
      <c r="P207" s="114" t="s">
        <v>25</v>
      </c>
    </row>
    <row r="208" spans="1:16" s="13" customFormat="1" ht="26" x14ac:dyDescent="0.25">
      <c r="A208" s="62"/>
      <c r="B208" s="147"/>
      <c r="C208" s="201" t="s">
        <v>1391</v>
      </c>
      <c r="D208" s="58" t="s">
        <v>1716</v>
      </c>
      <c r="E208" s="193" t="s">
        <v>969</v>
      </c>
      <c r="F208" s="316">
        <v>0.59199999999999997</v>
      </c>
      <c r="G208" s="207">
        <f t="shared" si="39"/>
        <v>128736.23310810811</v>
      </c>
      <c r="H208" s="191">
        <f>1683+2467+1341+4794</f>
        <v>10285</v>
      </c>
      <c r="I208" s="346"/>
      <c r="J208" s="346"/>
      <c r="K208" s="186">
        <f t="shared" si="40"/>
        <v>76211.849999999991</v>
      </c>
      <c r="L208" s="321" t="e">
        <f t="shared" si="41"/>
        <v>#REF!</v>
      </c>
      <c r="M208" s="454"/>
      <c r="N208" s="123" t="e">
        <f>IF(ISNA(MATCH(C208,#REF!,0)),"",INDEX(#REF!,MATCH(C208,#REF!,0)))</f>
        <v>#REF!</v>
      </c>
      <c r="O208" s="124" t="e">
        <f>SUMIF(#REF!,C208,#REF!)</f>
        <v>#REF!</v>
      </c>
      <c r="P208" s="124" t="s">
        <v>25</v>
      </c>
    </row>
    <row r="209" spans="1:16" s="13" customFormat="1" ht="39" x14ac:dyDescent="0.25">
      <c r="A209" s="62"/>
      <c r="B209" s="147"/>
      <c r="C209" s="201" t="s">
        <v>1392</v>
      </c>
      <c r="D209" s="58" t="s">
        <v>1717</v>
      </c>
      <c r="E209" s="190" t="s">
        <v>826</v>
      </c>
      <c r="F209" s="316">
        <v>2.4499999999999999E-3</v>
      </c>
      <c r="G209" s="207">
        <f t="shared" si="39"/>
        <v>728902.04081632639</v>
      </c>
      <c r="H209" s="191">
        <f>56+23+38+60+64</f>
        <v>241</v>
      </c>
      <c r="I209" s="346"/>
      <c r="J209" s="346"/>
      <c r="K209" s="186">
        <f t="shared" si="40"/>
        <v>1785.8099999999997</v>
      </c>
      <c r="L209" s="321" t="e">
        <f t="shared" si="41"/>
        <v>#REF!</v>
      </c>
      <c r="M209" s="454"/>
      <c r="N209" s="319" t="e">
        <f>IF(ISNA(MATCH(C209,#REF!,0)),"",INDEX(#REF!,MATCH(C209,#REF!,0)))</f>
        <v>#REF!</v>
      </c>
      <c r="O209" s="113" t="e">
        <f>SUMIF(#REF!,C209,#REF!)</f>
        <v>#REF!</v>
      </c>
      <c r="P209" s="113" t="s">
        <v>25</v>
      </c>
    </row>
    <row r="210" spans="1:16" s="13" customFormat="1" ht="52" x14ac:dyDescent="0.25">
      <c r="A210" s="62"/>
      <c r="B210" s="147"/>
      <c r="C210" s="201" t="s">
        <v>1393</v>
      </c>
      <c r="D210" s="188" t="s">
        <v>213</v>
      </c>
      <c r="E210" s="183" t="s">
        <v>969</v>
      </c>
      <c r="F210" s="208">
        <v>0.38100000000000001</v>
      </c>
      <c r="G210" s="207">
        <f t="shared" si="39"/>
        <v>204154.2519685039</v>
      </c>
      <c r="H210" s="191">
        <f>4122+1650+4724+1</f>
        <v>10497</v>
      </c>
      <c r="I210" s="346"/>
      <c r="J210" s="346"/>
      <c r="K210" s="186">
        <f t="shared" si="40"/>
        <v>77782.76999999999</v>
      </c>
      <c r="L210" s="321" t="e">
        <f t="shared" si="41"/>
        <v>#REF!</v>
      </c>
      <c r="M210" s="454"/>
      <c r="N210" s="123" t="e">
        <f>IF(ISNA(MATCH(C210,#REF!,0)),"",INDEX(#REF!,MATCH(C210,#REF!,0)))</f>
        <v>#REF!</v>
      </c>
      <c r="O210" s="124" t="e">
        <f>SUMIF(#REF!,C210,#REF!)</f>
        <v>#REF!</v>
      </c>
      <c r="P210" s="124" t="s">
        <v>25</v>
      </c>
    </row>
    <row r="211" spans="1:16" s="13" customFormat="1" ht="26" x14ac:dyDescent="0.25">
      <c r="A211" s="62"/>
      <c r="B211" s="147"/>
      <c r="C211" s="201" t="s">
        <v>1394</v>
      </c>
      <c r="D211" s="58" t="s">
        <v>223</v>
      </c>
      <c r="E211" s="183" t="s">
        <v>224</v>
      </c>
      <c r="F211" s="208">
        <v>0.06</v>
      </c>
      <c r="G211" s="245">
        <f t="shared" si="39"/>
        <v>24823.5</v>
      </c>
      <c r="H211" s="191">
        <f>201</f>
        <v>201</v>
      </c>
      <c r="I211" s="346"/>
      <c r="J211" s="346"/>
      <c r="K211" s="186">
        <f t="shared" si="40"/>
        <v>1489.4099999999999</v>
      </c>
      <c r="L211" s="321" t="e">
        <f t="shared" si="41"/>
        <v>#REF!</v>
      </c>
      <c r="M211" s="454"/>
      <c r="N211" s="123" t="e">
        <f>IF(ISNA(MATCH(C211,#REF!,0)),"",INDEX(#REF!,MATCH(C211,#REF!,0)))</f>
        <v>#REF!</v>
      </c>
      <c r="O211" s="124" t="e">
        <f>SUMIF(#REF!,C211,#REF!)</f>
        <v>#REF!</v>
      </c>
      <c r="P211" s="124" t="s">
        <v>25</v>
      </c>
    </row>
    <row r="212" spans="1:16" s="13" customFormat="1" ht="26" x14ac:dyDescent="0.25">
      <c r="A212" s="62"/>
      <c r="B212" s="134"/>
      <c r="C212" s="201" t="s">
        <v>1395</v>
      </c>
      <c r="D212" s="58" t="s">
        <v>225</v>
      </c>
      <c r="E212" s="190" t="s">
        <v>969</v>
      </c>
      <c r="F212" s="316">
        <v>0.104</v>
      </c>
      <c r="G212" s="245">
        <f t="shared" si="39"/>
        <v>161167.5</v>
      </c>
      <c r="H212" s="243">
        <f>1127+433+554+76+72</f>
        <v>2262</v>
      </c>
      <c r="I212" s="354"/>
      <c r="J212" s="354"/>
      <c r="K212" s="186">
        <f t="shared" si="40"/>
        <v>16761.419999999998</v>
      </c>
      <c r="L212" s="321" t="e">
        <f t="shared" si="41"/>
        <v>#REF!</v>
      </c>
      <c r="M212" s="454"/>
      <c r="N212" s="319" t="e">
        <f>IF(ISNA(MATCH(C212,#REF!,0)),"",INDEX(#REF!,MATCH(C212,#REF!,0)))</f>
        <v>#REF!</v>
      </c>
      <c r="O212" s="113" t="e">
        <f>SUMIF(#REF!,C212,#REF!)</f>
        <v>#REF!</v>
      </c>
      <c r="P212" s="113" t="s">
        <v>25</v>
      </c>
    </row>
    <row r="213" spans="1:16" s="13" customFormat="1" ht="26" x14ac:dyDescent="0.25">
      <c r="A213" s="62"/>
      <c r="B213" s="134"/>
      <c r="C213" s="201" t="s">
        <v>1396</v>
      </c>
      <c r="D213" s="227" t="s">
        <v>829</v>
      </c>
      <c r="E213" s="200" t="s">
        <v>977</v>
      </c>
      <c r="F213" s="316">
        <v>2.5590000000000002</v>
      </c>
      <c r="G213" s="245">
        <f t="shared" si="39"/>
        <v>234.54865181711602</v>
      </c>
      <c r="H213" s="243">
        <f>60+7+14</f>
        <v>81</v>
      </c>
      <c r="I213" s="354"/>
      <c r="J213" s="354"/>
      <c r="K213" s="186">
        <f t="shared" si="40"/>
        <v>600.20999999999992</v>
      </c>
      <c r="L213" s="321" t="e">
        <f t="shared" si="41"/>
        <v>#REF!</v>
      </c>
      <c r="M213" s="454"/>
      <c r="N213" s="131" t="e">
        <f>IF(ISNA(MATCH(C213,#REF!,0)),"",INDEX(#REF!,MATCH(C213,#REF!,0)))</f>
        <v>#REF!</v>
      </c>
      <c r="O213" s="114" t="e">
        <f>SUMIF(#REF!,C213,#REF!)</f>
        <v>#REF!</v>
      </c>
      <c r="P213" s="114" t="s">
        <v>25</v>
      </c>
    </row>
    <row r="214" spans="1:16" s="13" customFormat="1" ht="26" x14ac:dyDescent="0.25">
      <c r="A214" s="62"/>
      <c r="B214" s="134"/>
      <c r="C214" s="201" t="s">
        <v>1397</v>
      </c>
      <c r="D214" s="228" t="s">
        <v>212</v>
      </c>
      <c r="E214" s="183" t="s">
        <v>977</v>
      </c>
      <c r="F214" s="316">
        <v>2.5590000000000002E-2</v>
      </c>
      <c r="G214" s="245">
        <f t="shared" si="39"/>
        <v>3474.7948417350526</v>
      </c>
      <c r="H214" s="243">
        <f>10+2</f>
        <v>12</v>
      </c>
      <c r="I214" s="354"/>
      <c r="J214" s="354"/>
      <c r="K214" s="186">
        <f t="shared" si="40"/>
        <v>88.92</v>
      </c>
      <c r="L214" s="321" t="e">
        <f t="shared" si="41"/>
        <v>#REF!</v>
      </c>
      <c r="M214" s="454"/>
      <c r="N214" s="123" t="e">
        <f>IF(ISNA(MATCH(C214,#REF!,0)),"",INDEX(#REF!,MATCH(C214,#REF!,0)))</f>
        <v>#REF!</v>
      </c>
      <c r="O214" s="124" t="e">
        <f>SUMIF(#REF!,C214,#REF!)</f>
        <v>#REF!</v>
      </c>
      <c r="P214" s="124" t="s">
        <v>25</v>
      </c>
    </row>
    <row r="215" spans="1:16" s="13" customFormat="1" ht="39" x14ac:dyDescent="0.25">
      <c r="A215" s="62"/>
      <c r="B215" s="134"/>
      <c r="C215" s="201" t="s">
        <v>1398</v>
      </c>
      <c r="D215" s="229" t="s">
        <v>961</v>
      </c>
      <c r="E215" s="230" t="s">
        <v>977</v>
      </c>
      <c r="F215" s="316">
        <v>2.5590000000000002E-2</v>
      </c>
      <c r="G215" s="245">
        <f t="shared" si="39"/>
        <v>6660.0234466588508</v>
      </c>
      <c r="H215" s="243">
        <f>4+19</f>
        <v>23</v>
      </c>
      <c r="I215" s="354"/>
      <c r="J215" s="354"/>
      <c r="K215" s="186">
        <f t="shared" si="40"/>
        <v>170.43</v>
      </c>
      <c r="L215" s="321" t="e">
        <f t="shared" si="41"/>
        <v>#REF!</v>
      </c>
      <c r="M215" s="454"/>
      <c r="N215" s="131" t="e">
        <f>IF(ISNA(MATCH(C215,#REF!,0)),"",INDEX(#REF!,MATCH(C215,#REF!,0)))</f>
        <v>#REF!</v>
      </c>
      <c r="O215" s="114" t="e">
        <f>SUMIF(#REF!,C215,#REF!)</f>
        <v>#REF!</v>
      </c>
      <c r="P215" s="114" t="s">
        <v>25</v>
      </c>
    </row>
    <row r="216" spans="1:16" s="13" customFormat="1" ht="39" x14ac:dyDescent="0.25">
      <c r="A216" s="62"/>
      <c r="B216" s="134"/>
      <c r="C216" s="201" t="s">
        <v>1399</v>
      </c>
      <c r="D216" s="226" t="s">
        <v>1166</v>
      </c>
      <c r="E216" s="183" t="s">
        <v>826</v>
      </c>
      <c r="F216" s="316">
        <v>2.5899999999999999E-3</v>
      </c>
      <c r="G216" s="245">
        <f t="shared" si="39"/>
        <v>904077.22007721988</v>
      </c>
      <c r="H216" s="243">
        <f>28+137+42+62+47</f>
        <v>316</v>
      </c>
      <c r="I216" s="354"/>
      <c r="J216" s="354"/>
      <c r="K216" s="186">
        <f t="shared" si="40"/>
        <v>2341.5599999999995</v>
      </c>
      <c r="L216" s="321" t="e">
        <f t="shared" si="41"/>
        <v>#REF!</v>
      </c>
      <c r="M216" s="454"/>
      <c r="N216" s="123" t="e">
        <f>IF(ISNA(MATCH(C216,#REF!,0)),"",INDEX(#REF!,MATCH(C216,#REF!,0)))</f>
        <v>#REF!</v>
      </c>
      <c r="O216" s="124" t="e">
        <f>SUMIF(#REF!,C216,#REF!)</f>
        <v>#REF!</v>
      </c>
      <c r="P216" s="124" t="s">
        <v>25</v>
      </c>
    </row>
    <row r="217" spans="1:16" s="13" customFormat="1" ht="26" x14ac:dyDescent="0.25">
      <c r="A217" s="62"/>
      <c r="B217" s="134"/>
      <c r="C217" s="201" t="s">
        <v>1400</v>
      </c>
      <c r="D217" s="188" t="s">
        <v>1070</v>
      </c>
      <c r="E217" s="183" t="s">
        <v>969</v>
      </c>
      <c r="F217" s="316">
        <v>0.67100000000000004</v>
      </c>
      <c r="G217" s="245">
        <f t="shared" si="39"/>
        <v>191224.38152011918</v>
      </c>
      <c r="H217" s="243">
        <f>7970+2796+1539+1276+728+3007</f>
        <v>17316</v>
      </c>
      <c r="I217" s="354"/>
      <c r="J217" s="354"/>
      <c r="K217" s="186">
        <f t="shared" si="40"/>
        <v>128311.55999999998</v>
      </c>
      <c r="L217" s="321" t="e">
        <f t="shared" si="41"/>
        <v>#REF!</v>
      </c>
      <c r="M217" s="454"/>
      <c r="N217" s="123" t="e">
        <f>IF(ISNA(MATCH(C217,#REF!,0)),"",INDEX(#REF!,MATCH(C217,#REF!,0)))</f>
        <v>#REF!</v>
      </c>
      <c r="O217" s="124" t="e">
        <f>SUMIF(#REF!,C217,#REF!)</f>
        <v>#REF!</v>
      </c>
      <c r="P217" s="124" t="s">
        <v>25</v>
      </c>
    </row>
    <row r="218" spans="1:16" s="13" customFormat="1" ht="26" x14ac:dyDescent="0.25">
      <c r="A218" s="62"/>
      <c r="B218" s="134"/>
      <c r="C218" s="201" t="s">
        <v>1401</v>
      </c>
      <c r="D218" s="227" t="s">
        <v>829</v>
      </c>
      <c r="E218" s="200" t="s">
        <v>977</v>
      </c>
      <c r="F218" s="316">
        <v>54.067999999999998</v>
      </c>
      <c r="G218" s="245">
        <f t="shared" si="39"/>
        <v>236.82177998076497</v>
      </c>
      <c r="H218" s="243">
        <f>1277+157+294</f>
        <v>1728</v>
      </c>
      <c r="I218" s="354"/>
      <c r="J218" s="354"/>
      <c r="K218" s="186">
        <f t="shared" si="40"/>
        <v>12804.48</v>
      </c>
      <c r="L218" s="321" t="e">
        <f t="shared" si="41"/>
        <v>#REF!</v>
      </c>
      <c r="M218" s="454"/>
      <c r="N218" s="131" t="e">
        <f>IF(ISNA(MATCH(C218,#REF!,0)),"",INDEX(#REF!,MATCH(C218,#REF!,0)))</f>
        <v>#REF!</v>
      </c>
      <c r="O218" s="114" t="e">
        <f>SUMIF(#REF!,C218,#REF!)</f>
        <v>#REF!</v>
      </c>
      <c r="P218" s="114" t="s">
        <v>25</v>
      </c>
    </row>
    <row r="219" spans="1:16" s="13" customFormat="1" ht="26" x14ac:dyDescent="0.25">
      <c r="A219" s="62"/>
      <c r="B219" s="134"/>
      <c r="C219" s="201" t="s">
        <v>1402</v>
      </c>
      <c r="D219" s="188" t="s">
        <v>832</v>
      </c>
      <c r="E219" s="183" t="s">
        <v>977</v>
      </c>
      <c r="F219" s="316">
        <v>0.54068000000000005</v>
      </c>
      <c r="G219" s="245">
        <f t="shared" si="39"/>
        <v>2850.6325368055036</v>
      </c>
      <c r="H219" s="243">
        <f>94+114</f>
        <v>208</v>
      </c>
      <c r="I219" s="354"/>
      <c r="J219" s="354"/>
      <c r="K219" s="186">
        <f t="shared" si="40"/>
        <v>1541.2799999999997</v>
      </c>
      <c r="L219" s="321" t="e">
        <f t="shared" si="41"/>
        <v>#REF!</v>
      </c>
      <c r="M219" s="454"/>
      <c r="N219" s="123" t="e">
        <f>IF(ISNA(MATCH(C219,#REF!,0)),"",INDEX(#REF!,MATCH(C219,#REF!,0)))</f>
        <v>#REF!</v>
      </c>
      <c r="O219" s="124" t="e">
        <f>SUMIF(#REF!,C219,#REF!)</f>
        <v>#REF!</v>
      </c>
      <c r="P219" s="124" t="s">
        <v>25</v>
      </c>
    </row>
    <row r="220" spans="1:16" s="13" customFormat="1" ht="39" x14ac:dyDescent="0.25">
      <c r="A220" s="62"/>
      <c r="B220" s="128" t="s">
        <v>1072</v>
      </c>
      <c r="C220" s="213" t="s">
        <v>1403</v>
      </c>
      <c r="D220" s="60" t="s">
        <v>1071</v>
      </c>
      <c r="E220" s="214"/>
      <c r="F220" s="215"/>
      <c r="G220" s="211"/>
      <c r="H220" s="304">
        <f>H226+H228</f>
        <v>39713</v>
      </c>
      <c r="I220" s="347"/>
      <c r="J220" s="347"/>
      <c r="K220" s="205">
        <f>K226+K228</f>
        <v>294273.33</v>
      </c>
      <c r="L220" s="205" t="e">
        <f>L226+L228</f>
        <v>#REF!</v>
      </c>
      <c r="M220" s="457" t="s">
        <v>1164</v>
      </c>
      <c r="N220" s="136" t="e">
        <f>IF(ISNA(MATCH(C220,#REF!,0)),"",INDEX(#REF!,MATCH(C220,#REF!,0)))</f>
        <v>#REF!</v>
      </c>
      <c r="O220" s="137" t="e">
        <f>SUMIF(#REF!,C220,#REF!)</f>
        <v>#REF!</v>
      </c>
      <c r="P220" s="130" t="s">
        <v>26</v>
      </c>
    </row>
    <row r="221" spans="1:16" s="13" customFormat="1" ht="13.5" x14ac:dyDescent="0.25">
      <c r="A221" s="62"/>
      <c r="B221" s="133"/>
      <c r="C221" s="238"/>
      <c r="D221" s="600" t="s">
        <v>1707</v>
      </c>
      <c r="E221" s="239"/>
      <c r="F221" s="317"/>
      <c r="G221" s="240"/>
      <c r="H221" s="308"/>
      <c r="I221" s="352"/>
      <c r="J221" s="352"/>
      <c r="K221" s="241"/>
      <c r="L221" s="241" t="e">
        <f>K221-O221</f>
        <v>#REF!</v>
      </c>
      <c r="M221" s="454"/>
      <c r="N221" s="143" t="e">
        <f>IF(ISNA(MATCH(C221,#REF!,0)),"",INDEX(#REF!,MATCH(C221,#REF!,0)))</f>
        <v>#REF!</v>
      </c>
      <c r="O221" s="144" t="e">
        <f>SUMIF(#REF!,C221,#REF!)</f>
        <v>#REF!</v>
      </c>
      <c r="P221" s="144" t="s">
        <v>26</v>
      </c>
    </row>
    <row r="222" spans="1:16" s="13" customFormat="1" x14ac:dyDescent="0.25">
      <c r="A222" s="62"/>
      <c r="B222" s="591"/>
      <c r="C222" s="592" t="s">
        <v>556</v>
      </c>
      <c r="D222" s="594" t="s">
        <v>1073</v>
      </c>
      <c r="E222" s="275" t="s">
        <v>970</v>
      </c>
      <c r="F222" s="317">
        <v>1</v>
      </c>
      <c r="G222" s="240" t="str">
        <f>IF(ISERR(L222/F222),"",K222/F222)</f>
        <v/>
      </c>
      <c r="H222" s="246">
        <v>408300</v>
      </c>
      <c r="I222" s="355">
        <f>H222/1.0997</f>
        <v>371283.07720287354</v>
      </c>
      <c r="J222" s="355">
        <f>I222/F222</f>
        <v>371283.07720287354</v>
      </c>
      <c r="K222" s="322">
        <f>H222*$C$6</f>
        <v>1371888</v>
      </c>
      <c r="L222" s="323" t="e">
        <f>IF(N222="Заказчика",N222,INDEX(#REF!,MATCH(C222,#REF!,0)))</f>
        <v>#REF!</v>
      </c>
      <c r="M222" s="454"/>
      <c r="N222" s="145" t="e">
        <f>IF(ISNA(MATCH(C222,#REF!,0)),"",INDEX(#REF!,MATCH(C222,#REF!,0)))</f>
        <v>#REF!</v>
      </c>
      <c r="O222" s="146" t="e">
        <f>SUMIF(#REF!,C222,#REF!)</f>
        <v>#REF!</v>
      </c>
      <c r="P222" s="146" t="s">
        <v>26</v>
      </c>
    </row>
    <row r="223" spans="1:16" s="13" customFormat="1" x14ac:dyDescent="0.25">
      <c r="A223" s="62"/>
      <c r="B223" s="591"/>
      <c r="C223" s="592" t="s">
        <v>557</v>
      </c>
      <c r="D223" s="217" t="s">
        <v>1074</v>
      </c>
      <c r="E223" s="275" t="s">
        <v>970</v>
      </c>
      <c r="F223" s="316">
        <v>3</v>
      </c>
      <c r="G223" s="240" t="str">
        <f>IF(ISERR(L223/F223),"",K223/F223)</f>
        <v/>
      </c>
      <c r="H223" s="246">
        <v>49050</v>
      </c>
      <c r="I223" s="355">
        <f>H223/1.0997</f>
        <v>44603.073565517872</v>
      </c>
      <c r="J223" s="355">
        <f>I223/F223</f>
        <v>14867.691188505958</v>
      </c>
      <c r="K223" s="322">
        <f>H223*$C$6</f>
        <v>164808</v>
      </c>
      <c r="L223" s="323" t="e">
        <f>IF(N223="Заказчика",N223,INDEX(#REF!,MATCH(C223,#REF!,0)))</f>
        <v>#REF!</v>
      </c>
      <c r="M223" s="454"/>
      <c r="N223" s="145" t="e">
        <f>IF(ISNA(MATCH(C223,#REF!,0)),"",INDEX(#REF!,MATCH(C223,#REF!,0)))</f>
        <v>#REF!</v>
      </c>
      <c r="O223" s="146" t="e">
        <f>SUMIF(#REF!,C223,#REF!)</f>
        <v>#REF!</v>
      </c>
      <c r="P223" s="146" t="s">
        <v>26</v>
      </c>
    </row>
    <row r="224" spans="1:16" s="13" customFormat="1" ht="26" x14ac:dyDescent="0.25">
      <c r="A224" s="62"/>
      <c r="B224" s="591"/>
      <c r="C224" s="592" t="s">
        <v>558</v>
      </c>
      <c r="D224" s="217" t="s">
        <v>1075</v>
      </c>
      <c r="E224" s="275" t="s">
        <v>970</v>
      </c>
      <c r="F224" s="316">
        <v>2</v>
      </c>
      <c r="G224" s="240" t="str">
        <f>IF(ISERR(L224/F224),"",K224/F224)</f>
        <v/>
      </c>
      <c r="H224" s="309">
        <f>583+1</f>
        <v>584</v>
      </c>
      <c r="I224" s="356">
        <f>H224/1.0997</f>
        <v>531.05392379739931</v>
      </c>
      <c r="J224" s="356">
        <f>I224/F224</f>
        <v>265.52696189869965</v>
      </c>
      <c r="K224" s="322">
        <f>H224*$C$6</f>
        <v>1962.24</v>
      </c>
      <c r="L224" s="323" t="e">
        <f>IF(N224="Заказчика",N224,INDEX(#REF!,MATCH(C224,#REF!,0)))</f>
        <v>#REF!</v>
      </c>
      <c r="M224" s="454"/>
      <c r="N224" s="145" t="e">
        <f>IF(ISNA(MATCH(C224,#REF!,0)),"",INDEX(#REF!,MATCH(C224,#REF!,0)))</f>
        <v>#REF!</v>
      </c>
      <c r="O224" s="146" t="e">
        <f>SUMIF(#REF!,C224,#REF!)</f>
        <v>#REF!</v>
      </c>
      <c r="P224" s="146" t="s">
        <v>26</v>
      </c>
    </row>
    <row r="225" spans="1:16" s="13" customFormat="1" x14ac:dyDescent="0.25">
      <c r="A225" s="62"/>
      <c r="B225" s="591"/>
      <c r="C225" s="592" t="s">
        <v>559</v>
      </c>
      <c r="D225" s="217" t="s">
        <v>1076</v>
      </c>
      <c r="E225" s="275" t="s">
        <v>970</v>
      </c>
      <c r="F225" s="316">
        <v>2</v>
      </c>
      <c r="G225" s="240" t="str">
        <f>IF(ISERR(L225/F225),"",K225/F225)</f>
        <v/>
      </c>
      <c r="H225" s="246">
        <v>256</v>
      </c>
      <c r="I225" s="355">
        <f>H225/1.0997</f>
        <v>232.79076111666819</v>
      </c>
      <c r="J225" s="355">
        <f>I225/F225</f>
        <v>116.3953805583341</v>
      </c>
      <c r="K225" s="322">
        <f>H225*$C$6</f>
        <v>860.16</v>
      </c>
      <c r="L225" s="323" t="e">
        <f>IF(N225="Заказчика",N225,INDEX(#REF!,MATCH(C225,#REF!,0)))</f>
        <v>#REF!</v>
      </c>
      <c r="M225" s="454"/>
      <c r="N225" s="145" t="e">
        <f>IF(ISNA(MATCH(C225,#REF!,0)),"",INDEX(#REF!,MATCH(C225,#REF!,0)))</f>
        <v>#REF!</v>
      </c>
      <c r="O225" s="146" t="e">
        <f>SUMIF(#REF!,C225,#REF!)</f>
        <v>#REF!</v>
      </c>
      <c r="P225" s="146" t="s">
        <v>26</v>
      </c>
    </row>
    <row r="226" spans="1:16" s="13" customFormat="1" x14ac:dyDescent="0.25">
      <c r="A226" s="62"/>
      <c r="B226" s="134"/>
      <c r="C226" s="216" t="s">
        <v>1404</v>
      </c>
      <c r="D226" s="232" t="s">
        <v>721</v>
      </c>
      <c r="E226" s="233"/>
      <c r="F226" s="234"/>
      <c r="G226" s="235"/>
      <c r="H226" s="301">
        <f>H227</f>
        <v>7551</v>
      </c>
      <c r="I226" s="343"/>
      <c r="J226" s="343"/>
      <c r="K226" s="236">
        <f>K227</f>
        <v>55952.909999999996</v>
      </c>
      <c r="L226" s="236" t="e">
        <f>L227</f>
        <v>#REF!</v>
      </c>
      <c r="M226" s="454"/>
      <c r="N226" s="126" t="e">
        <f>IF(ISNA(MATCH(C226,#REF!,0)),"",INDEX(#REF!,MATCH(C226,#REF!,0)))</f>
        <v>#REF!</v>
      </c>
      <c r="O226" s="127" t="e">
        <f>SUMIF(#REF!,C226,#REF!)</f>
        <v>#REF!</v>
      </c>
      <c r="P226" s="127" t="s">
        <v>26</v>
      </c>
    </row>
    <row r="227" spans="1:16" s="13" customFormat="1" ht="26" x14ac:dyDescent="0.25">
      <c r="A227" s="62"/>
      <c r="B227" s="134"/>
      <c r="C227" s="201" t="s">
        <v>1405</v>
      </c>
      <c r="D227" s="188" t="s">
        <v>1078</v>
      </c>
      <c r="E227" s="183" t="s">
        <v>970</v>
      </c>
      <c r="F227" s="316">
        <v>1</v>
      </c>
      <c r="G227" s="240">
        <f>K227/F227</f>
        <v>55952.909999999996</v>
      </c>
      <c r="H227" s="243">
        <v>7551</v>
      </c>
      <c r="I227" s="354"/>
      <c r="J227" s="354"/>
      <c r="K227" s="241">
        <f>H227*$C$4*$C$5</f>
        <v>55952.909999999996</v>
      </c>
      <c r="L227" s="323" t="e">
        <f>IF(N227="поставка Заказчика",N227,K227)</f>
        <v>#REF!</v>
      </c>
      <c r="M227" s="454"/>
      <c r="N227" s="123" t="e">
        <f>IF(ISNA(MATCH(C227,#REF!,0)),"",INDEX(#REF!,MATCH(C227,#REF!,0)))</f>
        <v>#REF!</v>
      </c>
      <c r="O227" s="124" t="e">
        <f>SUMIF(#REF!,C227,#REF!)</f>
        <v>#REF!</v>
      </c>
      <c r="P227" s="124" t="s">
        <v>26</v>
      </c>
    </row>
    <row r="228" spans="1:16" s="13" customFormat="1" x14ac:dyDescent="0.25">
      <c r="A228" s="62"/>
      <c r="B228" s="134"/>
      <c r="C228" s="216" t="s">
        <v>1406</v>
      </c>
      <c r="D228" s="232" t="s">
        <v>1079</v>
      </c>
      <c r="E228" s="233"/>
      <c r="F228" s="234"/>
      <c r="G228" s="235"/>
      <c r="H228" s="247">
        <v>32162</v>
      </c>
      <c r="I228" s="357"/>
      <c r="J228" s="357"/>
      <c r="K228" s="248">
        <f>H228*$C$4*$C$5</f>
        <v>238320.42</v>
      </c>
      <c r="L228" s="248" t="e">
        <f>K228-O228</f>
        <v>#REF!</v>
      </c>
      <c r="M228" s="454"/>
      <c r="N228" s="126" t="e">
        <f>IF(ISNA(MATCH(C228,#REF!,0)),"",INDEX(#REF!,MATCH(C228,#REF!,0)))</f>
        <v>#REF!</v>
      </c>
      <c r="O228" s="127" t="e">
        <f>SUMIF(#REF!,C228,#REF!)</f>
        <v>#REF!</v>
      </c>
      <c r="P228" s="127" t="s">
        <v>26</v>
      </c>
    </row>
    <row r="229" spans="1:16" s="13" customFormat="1" ht="39" x14ac:dyDescent="0.25">
      <c r="A229" s="62"/>
      <c r="B229" s="128" t="s">
        <v>1081</v>
      </c>
      <c r="C229" s="213" t="s">
        <v>1407</v>
      </c>
      <c r="D229" s="60" t="s">
        <v>1080</v>
      </c>
      <c r="E229" s="214"/>
      <c r="F229" s="215"/>
      <c r="G229" s="211"/>
      <c r="H229" s="304">
        <f>SUM(H230:H240)</f>
        <v>118647</v>
      </c>
      <c r="I229" s="347"/>
      <c r="J229" s="347"/>
      <c r="K229" s="205">
        <f>SUM(K230:K240)</f>
        <v>879174.27000000014</v>
      </c>
      <c r="L229" s="205" t="e">
        <f>SUM(L230:L240)</f>
        <v>#REF!</v>
      </c>
      <c r="M229" s="457" t="s">
        <v>1164</v>
      </c>
      <c r="N229" s="136" t="e">
        <f>IF(ISNA(MATCH(C229,#REF!,0)),"",INDEX(#REF!,MATCH(C229,#REF!,0)))</f>
        <v>#REF!</v>
      </c>
      <c r="O229" s="137" t="e">
        <f>SUMIF(#REF!,C229,#REF!)</f>
        <v>#REF!</v>
      </c>
      <c r="P229" s="130" t="s">
        <v>27</v>
      </c>
    </row>
    <row r="230" spans="1:16" s="13" customFormat="1" ht="39" x14ac:dyDescent="0.25">
      <c r="A230" s="62"/>
      <c r="B230" s="134"/>
      <c r="C230" s="201" t="s">
        <v>1408</v>
      </c>
      <c r="D230" s="58" t="s">
        <v>1082</v>
      </c>
      <c r="E230" s="190" t="s">
        <v>1069</v>
      </c>
      <c r="F230" s="316">
        <v>7.3520000000000003</v>
      </c>
      <c r="G230" s="207">
        <f t="shared" ref="G230:G240" si="42">K230/F230</f>
        <v>23866.811751904243</v>
      </c>
      <c r="H230" s="243">
        <f>5771+17205+705-1</f>
        <v>23680</v>
      </c>
      <c r="I230" s="354"/>
      <c r="J230" s="354"/>
      <c r="K230" s="186">
        <f t="shared" ref="K230:K240" si="43">H230*$C$4*$C$5</f>
        <v>175468.79999999999</v>
      </c>
      <c r="L230" s="321" t="e">
        <f t="shared" ref="L230:L240" si="44">IF(N230="поставка Заказчика",N230,K230)</f>
        <v>#REF!</v>
      </c>
      <c r="M230" s="454"/>
      <c r="N230" s="319" t="e">
        <f>IF(ISNA(MATCH(C230,#REF!,0)),"",INDEX(#REF!,MATCH(C230,#REF!,0)))</f>
        <v>#REF!</v>
      </c>
      <c r="O230" s="113" t="e">
        <f>SUMIF(#REF!,C230,#REF!)</f>
        <v>#REF!</v>
      </c>
      <c r="P230" s="113" t="s">
        <v>27</v>
      </c>
    </row>
    <row r="231" spans="1:16" s="13" customFormat="1" ht="39" x14ac:dyDescent="0.25">
      <c r="A231" s="62"/>
      <c r="B231" s="147"/>
      <c r="C231" s="201" t="s">
        <v>1409</v>
      </c>
      <c r="D231" s="58" t="s">
        <v>959</v>
      </c>
      <c r="E231" s="183" t="s">
        <v>970</v>
      </c>
      <c r="F231" s="208">
        <v>8</v>
      </c>
      <c r="G231" s="207">
        <f t="shared" si="42"/>
        <v>1098.5325</v>
      </c>
      <c r="H231" s="191">
        <v>1186</v>
      </c>
      <c r="I231" s="346"/>
      <c r="J231" s="346"/>
      <c r="K231" s="186">
        <f t="shared" si="43"/>
        <v>8788.26</v>
      </c>
      <c r="L231" s="321" t="e">
        <f t="shared" si="44"/>
        <v>#REF!</v>
      </c>
      <c r="M231" s="454"/>
      <c r="N231" s="123" t="e">
        <f>IF(ISNA(MATCH(C231,#REF!,0)),"",INDEX(#REF!,MATCH(C231,#REF!,0)))</f>
        <v>#REF!</v>
      </c>
      <c r="O231" s="124" t="e">
        <f>SUMIF(#REF!,C231,#REF!)</f>
        <v>#REF!</v>
      </c>
      <c r="P231" s="124" t="s">
        <v>27</v>
      </c>
    </row>
    <row r="232" spans="1:16" s="13" customFormat="1" ht="26" x14ac:dyDescent="0.25">
      <c r="A232" s="62"/>
      <c r="B232" s="147"/>
      <c r="C232" s="201" t="s">
        <v>1410</v>
      </c>
      <c r="D232" s="228" t="s">
        <v>212</v>
      </c>
      <c r="E232" s="183" t="s">
        <v>977</v>
      </c>
      <c r="F232" s="316">
        <v>0.96</v>
      </c>
      <c r="G232" s="207">
        <f t="shared" si="42"/>
        <v>5032.625</v>
      </c>
      <c r="H232" s="191">
        <f>381+241+30</f>
        <v>652</v>
      </c>
      <c r="I232" s="346"/>
      <c r="J232" s="346"/>
      <c r="K232" s="186">
        <f t="shared" si="43"/>
        <v>4831.32</v>
      </c>
      <c r="L232" s="321" t="e">
        <f t="shared" si="44"/>
        <v>#REF!</v>
      </c>
      <c r="M232" s="454"/>
      <c r="N232" s="123" t="e">
        <f>IF(ISNA(MATCH(C232,#REF!,0)),"",INDEX(#REF!,MATCH(C232,#REF!,0)))</f>
        <v>#REF!</v>
      </c>
      <c r="O232" s="124" t="e">
        <f>SUMIF(#REF!,C232,#REF!)</f>
        <v>#REF!</v>
      </c>
      <c r="P232" s="124" t="s">
        <v>27</v>
      </c>
    </row>
    <row r="233" spans="1:16" s="13" customFormat="1" ht="39" x14ac:dyDescent="0.25">
      <c r="A233" s="62"/>
      <c r="B233" s="147"/>
      <c r="C233" s="201" t="s">
        <v>1411</v>
      </c>
      <c r="D233" s="229" t="s">
        <v>961</v>
      </c>
      <c r="E233" s="230" t="s">
        <v>977</v>
      </c>
      <c r="F233" s="316">
        <v>0.28799999999999998</v>
      </c>
      <c r="G233" s="207">
        <f t="shared" si="42"/>
        <v>3267.604166666667</v>
      </c>
      <c r="H233" s="191">
        <f>51+76</f>
        <v>127</v>
      </c>
      <c r="I233" s="346"/>
      <c r="J233" s="346"/>
      <c r="K233" s="186">
        <f t="shared" si="43"/>
        <v>941.07</v>
      </c>
      <c r="L233" s="321" t="e">
        <f t="shared" si="44"/>
        <v>#REF!</v>
      </c>
      <c r="M233" s="454"/>
      <c r="N233" s="131" t="e">
        <f>IF(ISNA(MATCH(C233,#REF!,0)),"",INDEX(#REF!,MATCH(C233,#REF!,0)))</f>
        <v>#REF!</v>
      </c>
      <c r="O233" s="114" t="e">
        <f>SUMIF(#REF!,C233,#REF!)</f>
        <v>#REF!</v>
      </c>
      <c r="P233" s="114" t="s">
        <v>27</v>
      </c>
    </row>
    <row r="234" spans="1:16" s="13" customFormat="1" ht="26" x14ac:dyDescent="0.25">
      <c r="A234" s="62"/>
      <c r="B234" s="147"/>
      <c r="C234" s="201" t="s">
        <v>1412</v>
      </c>
      <c r="D234" s="58" t="s">
        <v>1716</v>
      </c>
      <c r="E234" s="193" t="s">
        <v>969</v>
      </c>
      <c r="F234" s="316">
        <v>0.78800000000000003</v>
      </c>
      <c r="G234" s="207">
        <f t="shared" si="42"/>
        <v>128847.48730964465</v>
      </c>
      <c r="H234" s="191">
        <f>2243+3284+1788+6392-5</f>
        <v>13702</v>
      </c>
      <c r="I234" s="346"/>
      <c r="J234" s="346"/>
      <c r="K234" s="186">
        <f t="shared" si="43"/>
        <v>101531.81999999999</v>
      </c>
      <c r="L234" s="321" t="e">
        <f t="shared" si="44"/>
        <v>#REF!</v>
      </c>
      <c r="M234" s="454"/>
      <c r="N234" s="123" t="e">
        <f>IF(ISNA(MATCH(C234,#REF!,0)),"",INDEX(#REF!,MATCH(C234,#REF!,0)))</f>
        <v>#REF!</v>
      </c>
      <c r="O234" s="124" t="e">
        <f>SUMIF(#REF!,C234,#REF!)</f>
        <v>#REF!</v>
      </c>
      <c r="P234" s="124" t="s">
        <v>27</v>
      </c>
    </row>
    <row r="235" spans="1:16" s="13" customFormat="1" ht="39" x14ac:dyDescent="0.25">
      <c r="A235" s="62"/>
      <c r="B235" s="147"/>
      <c r="C235" s="201" t="s">
        <v>1413</v>
      </c>
      <c r="D235" s="58" t="s">
        <v>1717</v>
      </c>
      <c r="E235" s="190" t="s">
        <v>826</v>
      </c>
      <c r="F235" s="316">
        <v>3.2599999999999999E-3</v>
      </c>
      <c r="G235" s="207">
        <f t="shared" si="42"/>
        <v>734180.98159509199</v>
      </c>
      <c r="H235" s="191">
        <f>74+31+51+81+86</f>
        <v>323</v>
      </c>
      <c r="I235" s="346"/>
      <c r="J235" s="346"/>
      <c r="K235" s="186">
        <f t="shared" si="43"/>
        <v>2393.4299999999998</v>
      </c>
      <c r="L235" s="321" t="e">
        <f t="shared" si="44"/>
        <v>#REF!</v>
      </c>
      <c r="M235" s="454"/>
      <c r="N235" s="319" t="e">
        <f>IF(ISNA(MATCH(C235,#REF!,0)),"",INDEX(#REF!,MATCH(C235,#REF!,0)))</f>
        <v>#REF!</v>
      </c>
      <c r="O235" s="113" t="e">
        <f>SUMIF(#REF!,C235,#REF!)</f>
        <v>#REF!</v>
      </c>
      <c r="P235" s="113" t="s">
        <v>27</v>
      </c>
    </row>
    <row r="236" spans="1:16" s="13" customFormat="1" ht="52" x14ac:dyDescent="0.25">
      <c r="A236" s="62"/>
      <c r="B236" s="147"/>
      <c r="C236" s="201" t="s">
        <v>1414</v>
      </c>
      <c r="D236" s="188" t="s">
        <v>213</v>
      </c>
      <c r="E236" s="183" t="s">
        <v>969</v>
      </c>
      <c r="F236" s="316">
        <v>2.95</v>
      </c>
      <c r="G236" s="207">
        <f t="shared" si="42"/>
        <v>128004.61016949151</v>
      </c>
      <c r="H236" s="191">
        <f>3342+12293+16773+8627+9925</f>
        <v>50960</v>
      </c>
      <c r="I236" s="346"/>
      <c r="J236" s="346"/>
      <c r="K236" s="186">
        <f t="shared" si="43"/>
        <v>377613.6</v>
      </c>
      <c r="L236" s="321" t="e">
        <f t="shared" si="44"/>
        <v>#REF!</v>
      </c>
      <c r="M236" s="454"/>
      <c r="N236" s="123" t="e">
        <f>IF(ISNA(MATCH(C236,#REF!,0)),"",INDEX(#REF!,MATCH(C236,#REF!,0)))</f>
        <v>#REF!</v>
      </c>
      <c r="O236" s="124" t="e">
        <f>SUMIF(#REF!,C236,#REF!)</f>
        <v>#REF!</v>
      </c>
      <c r="P236" s="124" t="s">
        <v>27</v>
      </c>
    </row>
    <row r="237" spans="1:16" s="13" customFormat="1" ht="65" x14ac:dyDescent="0.25">
      <c r="A237" s="62"/>
      <c r="B237" s="147"/>
      <c r="C237" s="201" t="s">
        <v>1415</v>
      </c>
      <c r="D237" s="188" t="s">
        <v>1083</v>
      </c>
      <c r="E237" s="183" t="s">
        <v>969</v>
      </c>
      <c r="F237" s="316">
        <v>1.36</v>
      </c>
      <c r="G237" s="207">
        <f t="shared" si="42"/>
        <v>121197.0882352941</v>
      </c>
      <c r="H237" s="191">
        <f>3818+5667+6056+6703</f>
        <v>22244</v>
      </c>
      <c r="I237" s="346"/>
      <c r="J237" s="346"/>
      <c r="K237" s="186">
        <f t="shared" si="43"/>
        <v>164828.03999999998</v>
      </c>
      <c r="L237" s="321" t="e">
        <f t="shared" si="44"/>
        <v>#REF!</v>
      </c>
      <c r="M237" s="454"/>
      <c r="N237" s="123" t="e">
        <f>IF(ISNA(MATCH(C237,#REF!,0)),"",INDEX(#REF!,MATCH(C237,#REF!,0)))</f>
        <v>#REF!</v>
      </c>
      <c r="O237" s="124" t="e">
        <f>SUMIF(#REF!,C237,#REF!)</f>
        <v>#REF!</v>
      </c>
      <c r="P237" s="124" t="s">
        <v>27</v>
      </c>
    </row>
    <row r="238" spans="1:16" s="13" customFormat="1" ht="26" x14ac:dyDescent="0.25">
      <c r="A238" s="62"/>
      <c r="B238" s="134"/>
      <c r="C238" s="201" t="s">
        <v>1416</v>
      </c>
      <c r="D238" s="227" t="s">
        <v>829</v>
      </c>
      <c r="E238" s="200" t="s">
        <v>977</v>
      </c>
      <c r="F238" s="316">
        <v>1.1539999999999999</v>
      </c>
      <c r="G238" s="245">
        <f t="shared" si="42"/>
        <v>23681.178509532063</v>
      </c>
      <c r="H238" s="243">
        <f>2725+337+626</f>
        <v>3688</v>
      </c>
      <c r="I238" s="354"/>
      <c r="J238" s="354"/>
      <c r="K238" s="186">
        <f t="shared" si="43"/>
        <v>27328.079999999998</v>
      </c>
      <c r="L238" s="321" t="e">
        <f t="shared" si="44"/>
        <v>#REF!</v>
      </c>
      <c r="M238" s="454"/>
      <c r="N238" s="131" t="e">
        <f>IF(ISNA(MATCH(C238,#REF!,0)),"",INDEX(#REF!,MATCH(C238,#REF!,0)))</f>
        <v>#REF!</v>
      </c>
      <c r="O238" s="114" t="e">
        <f>SUMIF(#REF!,C238,#REF!)</f>
        <v>#REF!</v>
      </c>
      <c r="P238" s="114" t="s">
        <v>27</v>
      </c>
    </row>
    <row r="239" spans="1:16" s="37" customFormat="1" ht="26" x14ac:dyDescent="0.25">
      <c r="A239" s="41"/>
      <c r="B239" s="134"/>
      <c r="C239" s="201" t="s">
        <v>1417</v>
      </c>
      <c r="D239" s="188" t="s">
        <v>832</v>
      </c>
      <c r="E239" s="183" t="s">
        <v>977</v>
      </c>
      <c r="F239" s="316">
        <v>1.1539999999999999</v>
      </c>
      <c r="G239" s="245">
        <f t="shared" si="42"/>
        <v>2876.672443674177</v>
      </c>
      <c r="H239" s="243">
        <v>448</v>
      </c>
      <c r="I239" s="354"/>
      <c r="J239" s="354"/>
      <c r="K239" s="186">
        <f t="shared" si="43"/>
        <v>3319.68</v>
      </c>
      <c r="L239" s="321" t="e">
        <f t="shared" si="44"/>
        <v>#REF!</v>
      </c>
      <c r="M239" s="458"/>
      <c r="N239" s="123" t="e">
        <f>IF(ISNA(MATCH(C239,#REF!,0)),"",INDEX(#REF!,MATCH(C239,#REF!,0)))</f>
        <v>#REF!</v>
      </c>
      <c r="O239" s="124" t="e">
        <f>SUMIF(#REF!,C239,#REF!)</f>
        <v>#REF!</v>
      </c>
      <c r="P239" s="124" t="s">
        <v>27</v>
      </c>
    </row>
    <row r="240" spans="1:16" s="34" customFormat="1" ht="26" x14ac:dyDescent="0.25">
      <c r="A240" s="55">
        <v>1</v>
      </c>
      <c r="B240" s="141"/>
      <c r="C240" s="201" t="s">
        <v>1418</v>
      </c>
      <c r="D240" s="188" t="s">
        <v>833</v>
      </c>
      <c r="E240" s="183" t="s">
        <v>977</v>
      </c>
      <c r="F240" s="316">
        <v>1.1539999999999999</v>
      </c>
      <c r="G240" s="245">
        <f t="shared" si="42"/>
        <v>10511.41247833622</v>
      </c>
      <c r="H240" s="243">
        <v>1637</v>
      </c>
      <c r="I240" s="354"/>
      <c r="J240" s="354"/>
      <c r="K240" s="186">
        <f t="shared" si="43"/>
        <v>12130.169999999998</v>
      </c>
      <c r="L240" s="321" t="e">
        <f t="shared" si="44"/>
        <v>#REF!</v>
      </c>
      <c r="M240" s="459"/>
      <c r="N240" s="123" t="e">
        <f>IF(ISNA(MATCH(C240,#REF!,0)),"",INDEX(#REF!,MATCH(C240,#REF!,0)))</f>
        <v>#REF!</v>
      </c>
      <c r="O240" s="124" t="e">
        <f>SUMIF(#REF!,C240,#REF!)</f>
        <v>#REF!</v>
      </c>
      <c r="P240" s="124" t="s">
        <v>27</v>
      </c>
    </row>
    <row r="241" spans="1:16" s="34" customFormat="1" ht="39" x14ac:dyDescent="0.25">
      <c r="A241" s="56"/>
      <c r="B241" s="128" t="s">
        <v>1086</v>
      </c>
      <c r="C241" s="213" t="s">
        <v>1419</v>
      </c>
      <c r="D241" s="60" t="s">
        <v>1084</v>
      </c>
      <c r="E241" s="214"/>
      <c r="F241" s="215"/>
      <c r="G241" s="211"/>
      <c r="H241" s="304">
        <f>H244+H246</f>
        <v>132902</v>
      </c>
      <c r="I241" s="347"/>
      <c r="J241" s="347"/>
      <c r="K241" s="205">
        <f>K244+K246</f>
        <v>984803.82</v>
      </c>
      <c r="L241" s="205" t="e">
        <f>L244+L246</f>
        <v>#REF!</v>
      </c>
      <c r="M241" s="459" t="s">
        <v>1164</v>
      </c>
      <c r="N241" s="136" t="e">
        <f>IF(ISNA(MATCH(C241,#REF!,0)),"",INDEX(#REF!,MATCH(C241,#REF!,0)))</f>
        <v>#REF!</v>
      </c>
      <c r="O241" s="137" t="e">
        <f>SUMIF(#REF!,C241,#REF!)</f>
        <v>#REF!</v>
      </c>
      <c r="P241" s="130" t="s">
        <v>28</v>
      </c>
    </row>
    <row r="242" spans="1:16" s="34" customFormat="1" ht="15.5" x14ac:dyDescent="0.25">
      <c r="A242" s="56"/>
      <c r="B242" s="133"/>
      <c r="C242" s="238"/>
      <c r="D242" s="142" t="s">
        <v>1707</v>
      </c>
      <c r="E242" s="239"/>
      <c r="F242" s="317"/>
      <c r="G242" s="240"/>
      <c r="H242" s="308"/>
      <c r="I242" s="352"/>
      <c r="J242" s="352"/>
      <c r="K242" s="241"/>
      <c r="L242" s="241" t="e">
        <f>K242-O242</f>
        <v>#REF!</v>
      </c>
      <c r="M242" s="459"/>
      <c r="N242" s="143" t="e">
        <f>IF(ISNA(MATCH(C242,#REF!,0)),"",INDEX(#REF!,MATCH(C242,#REF!,0)))</f>
        <v>#REF!</v>
      </c>
      <c r="O242" s="144" t="e">
        <f>SUMIF(#REF!,C242,#REF!)</f>
        <v>#REF!</v>
      </c>
      <c r="P242" s="144" t="s">
        <v>28</v>
      </c>
    </row>
    <row r="243" spans="1:16" s="34" customFormat="1" ht="52" x14ac:dyDescent="0.25">
      <c r="A243" s="56"/>
      <c r="B243" s="591"/>
      <c r="C243" s="592" t="s">
        <v>560</v>
      </c>
      <c r="D243" s="593" t="s">
        <v>1085</v>
      </c>
      <c r="E243" s="275" t="s">
        <v>970</v>
      </c>
      <c r="F243" s="317">
        <v>2</v>
      </c>
      <c r="G243" s="240" t="str">
        <f>IF(ISERR(L243/F243),"",K243/F243)</f>
        <v/>
      </c>
      <c r="H243" s="249">
        <v>748586</v>
      </c>
      <c r="I243" s="358">
        <f>H243/1.0997</f>
        <v>680718.37773938349</v>
      </c>
      <c r="J243" s="358">
        <f>I243/F243</f>
        <v>340359.18886969174</v>
      </c>
      <c r="K243" s="322">
        <f>H243*$C$6</f>
        <v>2515248.96</v>
      </c>
      <c r="L243" s="323" t="e">
        <f>IF(N243="Заказчика",N243,INDEX(#REF!,MATCH(C243,#REF!,0)))</f>
        <v>#REF!</v>
      </c>
      <c r="M243" s="459"/>
      <c r="N243" s="145" t="e">
        <f>IF(ISNA(MATCH(C243,#REF!,0)),"",INDEX(#REF!,MATCH(C243,#REF!,0)))</f>
        <v>#REF!</v>
      </c>
      <c r="O243" s="146" t="e">
        <f>SUMIF(#REF!,C243,#REF!)</f>
        <v>#REF!</v>
      </c>
      <c r="P243" s="146" t="s">
        <v>28</v>
      </c>
    </row>
    <row r="244" spans="1:16" s="34" customFormat="1" ht="15.5" x14ac:dyDescent="0.25">
      <c r="A244" s="56"/>
      <c r="B244" s="134"/>
      <c r="C244" s="216" t="s">
        <v>1420</v>
      </c>
      <c r="D244" s="232" t="s">
        <v>721</v>
      </c>
      <c r="E244" s="233"/>
      <c r="F244" s="234"/>
      <c r="G244" s="235"/>
      <c r="H244" s="301">
        <f>H245</f>
        <v>15434</v>
      </c>
      <c r="I244" s="343"/>
      <c r="J244" s="343"/>
      <c r="K244" s="236">
        <f>K245</f>
        <v>114365.93999999999</v>
      </c>
      <c r="L244" s="236" t="e">
        <f>L245</f>
        <v>#REF!</v>
      </c>
      <c r="M244" s="459"/>
      <c r="N244" s="126" t="e">
        <f>IF(ISNA(MATCH(C244,#REF!,0)),"",INDEX(#REF!,MATCH(C244,#REF!,0)))</f>
        <v>#REF!</v>
      </c>
      <c r="O244" s="127" t="e">
        <f>SUMIF(#REF!,C244,#REF!)</f>
        <v>#REF!</v>
      </c>
      <c r="P244" s="127" t="s">
        <v>28</v>
      </c>
    </row>
    <row r="245" spans="1:16" s="34" customFormat="1" ht="26" x14ac:dyDescent="0.25">
      <c r="A245" s="56"/>
      <c r="B245" s="134"/>
      <c r="C245" s="201" t="s">
        <v>1421</v>
      </c>
      <c r="D245" s="188" t="s">
        <v>1087</v>
      </c>
      <c r="E245" s="183" t="s">
        <v>970</v>
      </c>
      <c r="F245" s="316">
        <v>2</v>
      </c>
      <c r="G245" s="207">
        <f>K245/F245</f>
        <v>57182.969999999994</v>
      </c>
      <c r="H245" s="243">
        <v>15434</v>
      </c>
      <c r="I245" s="354"/>
      <c r="J245" s="354"/>
      <c r="K245" s="186">
        <f>H245*$C$4*$C$5</f>
        <v>114365.93999999999</v>
      </c>
      <c r="L245" s="321" t="e">
        <f>IF(N245="поставка Заказчика",N245,K245)</f>
        <v>#REF!</v>
      </c>
      <c r="M245" s="459"/>
      <c r="N245" s="123" t="e">
        <f>IF(ISNA(MATCH(C245,#REF!,0)),"",INDEX(#REF!,MATCH(C245,#REF!,0)))</f>
        <v>#REF!</v>
      </c>
      <c r="O245" s="124" t="e">
        <f>SUMIF(#REF!,C245,#REF!)</f>
        <v>#REF!</v>
      </c>
      <c r="P245" s="124" t="s">
        <v>28</v>
      </c>
    </row>
    <row r="246" spans="1:16" s="34" customFormat="1" ht="15.5" x14ac:dyDescent="0.25">
      <c r="A246" s="56"/>
      <c r="B246" s="134"/>
      <c r="C246" s="216" t="s">
        <v>1422</v>
      </c>
      <c r="D246" s="232" t="s">
        <v>1705</v>
      </c>
      <c r="E246" s="233"/>
      <c r="F246" s="234"/>
      <c r="G246" s="235"/>
      <c r="H246" s="301">
        <f>SUM(H247:H256)</f>
        <v>117468</v>
      </c>
      <c r="I246" s="343"/>
      <c r="J246" s="343"/>
      <c r="K246" s="236">
        <f>SUM(K247:K256)</f>
        <v>870437.88</v>
      </c>
      <c r="L246" s="236" t="e">
        <f>SUM(L247:L256)</f>
        <v>#REF!</v>
      </c>
      <c r="M246" s="459"/>
      <c r="N246" s="126" t="e">
        <f>IF(ISNA(MATCH(C246,#REF!,0)),"",INDEX(#REF!,MATCH(C246,#REF!,0)))</f>
        <v>#REF!</v>
      </c>
      <c r="O246" s="127" t="e">
        <f>SUMIF(#REF!,C246,#REF!)</f>
        <v>#REF!</v>
      </c>
      <c r="P246" s="127" t="s">
        <v>28</v>
      </c>
    </row>
    <row r="247" spans="1:16" s="34" customFormat="1" ht="26" x14ac:dyDescent="0.25">
      <c r="A247" s="56"/>
      <c r="B247" s="134"/>
      <c r="C247" s="201"/>
      <c r="D247" s="58" t="s">
        <v>1088</v>
      </c>
      <c r="E247" s="200"/>
      <c r="F247" s="316"/>
      <c r="G247" s="245"/>
      <c r="H247" s="243"/>
      <c r="I247" s="354"/>
      <c r="J247" s="354"/>
      <c r="K247" s="186"/>
      <c r="L247" s="186" t="e">
        <f>K247-O247</f>
        <v>#REF!</v>
      </c>
      <c r="M247" s="459"/>
      <c r="N247" s="131" t="e">
        <f>IF(ISNA(MATCH(C247,#REF!,0)),"",INDEX(#REF!,MATCH(C247,#REF!,0)))</f>
        <v>#REF!</v>
      </c>
      <c r="O247" s="114" t="e">
        <f>SUMIF(#REF!,C247,#REF!)</f>
        <v>#REF!</v>
      </c>
      <c r="P247" s="114" t="s">
        <v>28</v>
      </c>
    </row>
    <row r="248" spans="1:16" s="34" customFormat="1" ht="65" x14ac:dyDescent="0.25">
      <c r="A248" s="56"/>
      <c r="B248" s="134"/>
      <c r="C248" s="201" t="s">
        <v>1423</v>
      </c>
      <c r="D248" s="58" t="s">
        <v>1089</v>
      </c>
      <c r="E248" s="200" t="s">
        <v>720</v>
      </c>
      <c r="F248" s="316">
        <v>331.6</v>
      </c>
      <c r="G248" s="207">
        <f>K248/F248</f>
        <v>772.41875753920385</v>
      </c>
      <c r="H248" s="187">
        <v>34566</v>
      </c>
      <c r="I248" s="244"/>
      <c r="J248" s="244"/>
      <c r="K248" s="186">
        <f>H248*$C$4*$C$5</f>
        <v>256134.06</v>
      </c>
      <c r="L248" s="321" t="e">
        <f>IF(N248="поставка Заказчика",N248,K248)</f>
        <v>#REF!</v>
      </c>
      <c r="M248" s="459"/>
      <c r="N248" s="131" t="e">
        <f>IF(ISNA(MATCH(C248,#REF!,0)),"",INDEX(#REF!,MATCH(C248,#REF!,0)))</f>
        <v>#REF!</v>
      </c>
      <c r="O248" s="114" t="e">
        <f>SUMIF(#REF!,C248,#REF!)</f>
        <v>#REF!</v>
      </c>
      <c r="P248" s="114" t="s">
        <v>28</v>
      </c>
    </row>
    <row r="249" spans="1:16" s="34" customFormat="1" ht="15.5" x14ac:dyDescent="0.25">
      <c r="A249" s="56"/>
      <c r="B249" s="134"/>
      <c r="C249" s="201" t="s">
        <v>1424</v>
      </c>
      <c r="D249" s="58" t="s">
        <v>1090</v>
      </c>
      <c r="E249" s="200" t="s">
        <v>720</v>
      </c>
      <c r="F249" s="316">
        <v>331.6</v>
      </c>
      <c r="G249" s="207">
        <f>K249/F249</f>
        <v>23.575241254523519</v>
      </c>
      <c r="H249" s="187">
        <v>1055</v>
      </c>
      <c r="I249" s="244"/>
      <c r="J249" s="244"/>
      <c r="K249" s="186">
        <f>H249*$C$4*$C$5</f>
        <v>7817.5499999999993</v>
      </c>
      <c r="L249" s="321" t="e">
        <f>IF(N249="поставка Заказчика",N249,K249)</f>
        <v>#REF!</v>
      </c>
      <c r="M249" s="459"/>
      <c r="N249" s="131" t="e">
        <f>IF(ISNA(MATCH(C249,#REF!,0)),"",INDEX(#REF!,MATCH(C249,#REF!,0)))</f>
        <v>#REF!</v>
      </c>
      <c r="O249" s="114" t="e">
        <f>SUMIF(#REF!,C249,#REF!)</f>
        <v>#REF!</v>
      </c>
      <c r="P249" s="114" t="s">
        <v>28</v>
      </c>
    </row>
    <row r="250" spans="1:16" s="34" customFormat="1" ht="39" x14ac:dyDescent="0.25">
      <c r="A250" s="56"/>
      <c r="B250" s="134"/>
      <c r="C250" s="201" t="s">
        <v>1425</v>
      </c>
      <c r="D250" s="58" t="s">
        <v>1091</v>
      </c>
      <c r="E250" s="200" t="s">
        <v>720</v>
      </c>
      <c r="F250" s="316">
        <v>331.6</v>
      </c>
      <c r="G250" s="207">
        <f>K250/F250</f>
        <v>32.469028950542821</v>
      </c>
      <c r="H250" s="187">
        <v>1453</v>
      </c>
      <c r="I250" s="244"/>
      <c r="J250" s="244"/>
      <c r="K250" s="186">
        <f>H250*$C$4*$C$5</f>
        <v>10766.73</v>
      </c>
      <c r="L250" s="321" t="e">
        <f>IF(N250="поставка Заказчика",N250,K250)</f>
        <v>#REF!</v>
      </c>
      <c r="M250" s="459"/>
      <c r="N250" s="131" t="e">
        <f>IF(ISNA(MATCH(C250,#REF!,0)),"",INDEX(#REF!,MATCH(C250,#REF!,0)))</f>
        <v>#REF!</v>
      </c>
      <c r="O250" s="114" t="e">
        <f>SUMIF(#REF!,C250,#REF!)</f>
        <v>#REF!</v>
      </c>
      <c r="P250" s="114" t="s">
        <v>28</v>
      </c>
    </row>
    <row r="251" spans="1:16" s="34" customFormat="1" ht="26" x14ac:dyDescent="0.25">
      <c r="A251" s="56"/>
      <c r="B251" s="134"/>
      <c r="C251" s="201" t="s">
        <v>1426</v>
      </c>
      <c r="D251" s="58" t="s">
        <v>1092</v>
      </c>
      <c r="E251" s="200" t="s">
        <v>977</v>
      </c>
      <c r="F251" s="316">
        <v>3.3159999999999998</v>
      </c>
      <c r="G251" s="207">
        <f>K251/F251</f>
        <v>24743.947527141132</v>
      </c>
      <c r="H251" s="187">
        <v>11073</v>
      </c>
      <c r="I251" s="244"/>
      <c r="J251" s="244"/>
      <c r="K251" s="186">
        <f>H251*$C$4*$C$5</f>
        <v>82050.929999999993</v>
      </c>
      <c r="L251" s="321" t="e">
        <f>IF(N251="поставка Заказчика",N251,K251)</f>
        <v>#REF!</v>
      </c>
      <c r="M251" s="459"/>
      <c r="N251" s="131" t="e">
        <f>IF(ISNA(MATCH(C251,#REF!,0)),"",INDEX(#REF!,MATCH(C251,#REF!,0)))</f>
        <v>#REF!</v>
      </c>
      <c r="O251" s="114" t="e">
        <f>SUMIF(#REF!,C251,#REF!)</f>
        <v>#REF!</v>
      </c>
      <c r="P251" s="114" t="s">
        <v>28</v>
      </c>
    </row>
    <row r="252" spans="1:16" s="34" customFormat="1" ht="26" x14ac:dyDescent="0.25">
      <c r="A252" s="56"/>
      <c r="B252" s="134"/>
      <c r="C252" s="201" t="s">
        <v>1427</v>
      </c>
      <c r="D252" s="58" t="s">
        <v>1093</v>
      </c>
      <c r="E252" s="200" t="s">
        <v>977</v>
      </c>
      <c r="F252" s="316">
        <v>3.3159999999999998</v>
      </c>
      <c r="G252" s="207">
        <f>K252/F252</f>
        <v>13919.448130277444</v>
      </c>
      <c r="H252" s="187">
        <v>6229</v>
      </c>
      <c r="I252" s="244"/>
      <c r="J252" s="244"/>
      <c r="K252" s="186">
        <f>H252*$C$4*$C$5</f>
        <v>46156.89</v>
      </c>
      <c r="L252" s="321" t="e">
        <f>IF(N252="поставка Заказчика",N252,K252)</f>
        <v>#REF!</v>
      </c>
      <c r="M252" s="459"/>
      <c r="N252" s="131" t="e">
        <f>IF(ISNA(MATCH(C252,#REF!,0)),"",INDEX(#REF!,MATCH(C252,#REF!,0)))</f>
        <v>#REF!</v>
      </c>
      <c r="O252" s="114" t="e">
        <f>SUMIF(#REF!,C252,#REF!)</f>
        <v>#REF!</v>
      </c>
      <c r="P252" s="114" t="s">
        <v>28</v>
      </c>
    </row>
    <row r="253" spans="1:16" s="34" customFormat="1" ht="15.5" x14ac:dyDescent="0.25">
      <c r="A253" s="56"/>
      <c r="B253" s="134"/>
      <c r="C253" s="201"/>
      <c r="D253" s="58" t="s">
        <v>1094</v>
      </c>
      <c r="E253" s="200"/>
      <c r="F253" s="316"/>
      <c r="G253" s="207"/>
      <c r="H253" s="243"/>
      <c r="I253" s="354"/>
      <c r="J253" s="354"/>
      <c r="K253" s="186"/>
      <c r="L253" s="186" t="e">
        <f>K253-O253</f>
        <v>#REF!</v>
      </c>
      <c r="M253" s="459"/>
      <c r="N253" s="131" t="e">
        <f>IF(ISNA(MATCH(C253,#REF!,0)),"",INDEX(#REF!,MATCH(C253,#REF!,0)))</f>
        <v>#REF!</v>
      </c>
      <c r="O253" s="114" t="e">
        <f>SUMIF(#REF!,C253,#REF!)</f>
        <v>#REF!</v>
      </c>
      <c r="P253" s="114" t="s">
        <v>28</v>
      </c>
    </row>
    <row r="254" spans="1:16" s="34" customFormat="1" ht="52" x14ac:dyDescent="0.25">
      <c r="A254" s="56"/>
      <c r="B254" s="134"/>
      <c r="C254" s="201" t="s">
        <v>1428</v>
      </c>
      <c r="D254" s="58" t="s">
        <v>1096</v>
      </c>
      <c r="E254" s="200" t="s">
        <v>1095</v>
      </c>
      <c r="F254" s="316">
        <v>26.54</v>
      </c>
      <c r="G254" s="207">
        <f>K254/F254</f>
        <v>14367.694046721928</v>
      </c>
      <c r="H254" s="187">
        <v>51460</v>
      </c>
      <c r="I254" s="244"/>
      <c r="J254" s="244"/>
      <c r="K254" s="186">
        <f>H254*$C$4*$C$5</f>
        <v>381318.6</v>
      </c>
      <c r="L254" s="321" t="e">
        <f>IF(N254="поставка Заказчика",N254,K254)</f>
        <v>#REF!</v>
      </c>
      <c r="M254" s="459"/>
      <c r="N254" s="131" t="e">
        <f>IF(ISNA(MATCH(C254,#REF!,0)),"",INDEX(#REF!,MATCH(C254,#REF!,0)))</f>
        <v>#REF!</v>
      </c>
      <c r="O254" s="114" t="e">
        <f>SUMIF(#REF!,C254,#REF!)</f>
        <v>#REF!</v>
      </c>
      <c r="P254" s="114" t="s">
        <v>28</v>
      </c>
    </row>
    <row r="255" spans="1:16" s="34" customFormat="1" ht="26" x14ac:dyDescent="0.25">
      <c r="A255" s="56"/>
      <c r="B255" s="134"/>
      <c r="C255" s="201" t="s">
        <v>1429</v>
      </c>
      <c r="D255" s="58" t="s">
        <v>1097</v>
      </c>
      <c r="E255" s="200" t="s">
        <v>977</v>
      </c>
      <c r="F255" s="316">
        <v>3.5059999999999998</v>
      </c>
      <c r="G255" s="207">
        <f>K255/F255</f>
        <v>4920.2738163148879</v>
      </c>
      <c r="H255" s="187">
        <v>2328</v>
      </c>
      <c r="I255" s="244"/>
      <c r="J255" s="244"/>
      <c r="K255" s="186">
        <f>H255*$C$4*$C$5</f>
        <v>17250.479999999996</v>
      </c>
      <c r="L255" s="321" t="e">
        <f>IF(N255="поставка Заказчика",N255,K255)</f>
        <v>#REF!</v>
      </c>
      <c r="M255" s="459"/>
      <c r="N255" s="131" t="e">
        <f>IF(ISNA(MATCH(C255,#REF!,0)),"",INDEX(#REF!,MATCH(C255,#REF!,0)))</f>
        <v>#REF!</v>
      </c>
      <c r="O255" s="114" t="e">
        <f>SUMIF(#REF!,C255,#REF!)</f>
        <v>#REF!</v>
      </c>
      <c r="P255" s="114" t="s">
        <v>28</v>
      </c>
    </row>
    <row r="256" spans="1:16" s="34" customFormat="1" ht="26" x14ac:dyDescent="0.25">
      <c r="A256" s="56"/>
      <c r="B256" s="134"/>
      <c r="C256" s="201" t="s">
        <v>1430</v>
      </c>
      <c r="D256" s="58" t="s">
        <v>1098</v>
      </c>
      <c r="E256" s="200" t="s">
        <v>977</v>
      </c>
      <c r="F256" s="316">
        <v>3.5059999999999998</v>
      </c>
      <c r="G256" s="207">
        <f>K256/F256</f>
        <v>19664.187107815174</v>
      </c>
      <c r="H256" s="191">
        <v>9304</v>
      </c>
      <c r="I256" s="346"/>
      <c r="J256" s="346"/>
      <c r="K256" s="186">
        <f>H256*$C$4*$C$5</f>
        <v>68942.64</v>
      </c>
      <c r="L256" s="321" t="e">
        <f>IF(N256="поставка Заказчика",N256,K256)</f>
        <v>#REF!</v>
      </c>
      <c r="M256" s="459"/>
      <c r="N256" s="131" t="e">
        <f>IF(ISNA(MATCH(C256,#REF!,0)),"",INDEX(#REF!,MATCH(C256,#REF!,0)))</f>
        <v>#REF!</v>
      </c>
      <c r="O256" s="114" t="e">
        <f>SUMIF(#REF!,C256,#REF!)</f>
        <v>#REF!</v>
      </c>
      <c r="P256" s="114" t="s">
        <v>28</v>
      </c>
    </row>
    <row r="257" spans="1:16" s="34" customFormat="1" ht="26" x14ac:dyDescent="0.25">
      <c r="A257" s="56"/>
      <c r="B257" s="128" t="s">
        <v>1101</v>
      </c>
      <c r="C257" s="213" t="s">
        <v>1431</v>
      </c>
      <c r="D257" s="60" t="s">
        <v>1099</v>
      </c>
      <c r="E257" s="214"/>
      <c r="F257" s="215"/>
      <c r="G257" s="211"/>
      <c r="H257" s="304">
        <f>H258+H273+H290+H296+H302+H307</f>
        <v>1006543</v>
      </c>
      <c r="I257" s="347"/>
      <c r="J257" s="347"/>
      <c r="K257" s="205">
        <f>K258+K273+K290+K296+K302+K307</f>
        <v>7458483.629999999</v>
      </c>
      <c r="L257" s="205" t="e">
        <f>L258+L273+L290+L296+L302+L307</f>
        <v>#REF!</v>
      </c>
      <c r="M257" s="459" t="s">
        <v>1164</v>
      </c>
      <c r="N257" s="136" t="e">
        <f>IF(ISNA(MATCH(C257,#REF!,0)),"",INDEX(#REF!,MATCH(C257,#REF!,0)))</f>
        <v>#REF!</v>
      </c>
      <c r="O257" s="137" t="e">
        <f>SUMIF(#REF!,C257,#REF!)</f>
        <v>#REF!</v>
      </c>
      <c r="P257" s="130" t="s">
        <v>29</v>
      </c>
    </row>
    <row r="258" spans="1:16" s="34" customFormat="1" ht="15.5" x14ac:dyDescent="0.25">
      <c r="A258" s="56"/>
      <c r="B258" s="148"/>
      <c r="C258" s="216" t="s">
        <v>1432</v>
      </c>
      <c r="D258" s="232" t="s">
        <v>1100</v>
      </c>
      <c r="E258" s="250"/>
      <c r="F258" s="251"/>
      <c r="G258" s="235"/>
      <c r="H258" s="301">
        <f>SUM(H259:H272)</f>
        <v>267291</v>
      </c>
      <c r="I258" s="343"/>
      <c r="J258" s="343"/>
      <c r="K258" s="236">
        <f>SUM(K259:K272)</f>
        <v>1980626.3099999998</v>
      </c>
      <c r="L258" s="236" t="e">
        <f>SUM(L259:L272)</f>
        <v>#REF!</v>
      </c>
      <c r="M258" s="459"/>
      <c r="N258" s="149" t="e">
        <f>IF(ISNA(MATCH(C258,#REF!,0)),"",INDEX(#REF!,MATCH(C258,#REF!,0)))</f>
        <v>#REF!</v>
      </c>
      <c r="O258" s="150" t="e">
        <f>SUMIF(#REF!,C258,#REF!)</f>
        <v>#REF!</v>
      </c>
      <c r="P258" s="150" t="s">
        <v>29</v>
      </c>
    </row>
    <row r="259" spans="1:16" s="34" customFormat="1" ht="52" x14ac:dyDescent="0.25">
      <c r="A259" s="56"/>
      <c r="B259" s="134"/>
      <c r="C259" s="201" t="s">
        <v>1433</v>
      </c>
      <c r="D259" s="58" t="s">
        <v>1102</v>
      </c>
      <c r="E259" s="200" t="s">
        <v>969</v>
      </c>
      <c r="F259" s="316">
        <v>17.097999999999999</v>
      </c>
      <c r="G259" s="207">
        <f t="shared" ref="G259:G272" si="45">K259/F259</f>
        <v>12955.148555386595</v>
      </c>
      <c r="H259" s="187">
        <f>22506+6845+542</f>
        <v>29893</v>
      </c>
      <c r="I259" s="244"/>
      <c r="J259" s="244"/>
      <c r="K259" s="186">
        <f t="shared" ref="K259:K272" si="46">H259*$C$4*$C$5</f>
        <v>221507.12999999998</v>
      </c>
      <c r="L259" s="321" t="e">
        <f t="shared" ref="L259:L272" si="47">IF(N259="поставка Заказчика",N259,K259)</f>
        <v>#REF!</v>
      </c>
      <c r="M259" s="459"/>
      <c r="N259" s="131" t="e">
        <f>IF(ISNA(MATCH(C259,#REF!,0)),"",INDEX(#REF!,MATCH(C259,#REF!,0)))</f>
        <v>#REF!</v>
      </c>
      <c r="O259" s="114" t="e">
        <f>SUMIF(#REF!,C259,#REF!)</f>
        <v>#REF!</v>
      </c>
      <c r="P259" s="114" t="s">
        <v>29</v>
      </c>
    </row>
    <row r="260" spans="1:16" s="34" customFormat="1" ht="26" x14ac:dyDescent="0.25">
      <c r="A260" s="56"/>
      <c r="B260" s="134"/>
      <c r="C260" s="201" t="s">
        <v>1434</v>
      </c>
      <c r="D260" s="58" t="s">
        <v>1103</v>
      </c>
      <c r="E260" s="200" t="s">
        <v>971</v>
      </c>
      <c r="F260" s="316">
        <v>41.612000000000002</v>
      </c>
      <c r="G260" s="207">
        <f t="shared" si="45"/>
        <v>2207.4007497837156</v>
      </c>
      <c r="H260" s="187">
        <v>12396</v>
      </c>
      <c r="I260" s="244"/>
      <c r="J260" s="244"/>
      <c r="K260" s="186">
        <f t="shared" si="46"/>
        <v>91854.359999999986</v>
      </c>
      <c r="L260" s="321" t="e">
        <f t="shared" si="47"/>
        <v>#REF!</v>
      </c>
      <c r="M260" s="459"/>
      <c r="N260" s="131" t="e">
        <f>IF(ISNA(MATCH(C260,#REF!,0)),"",INDEX(#REF!,MATCH(C260,#REF!,0)))</f>
        <v>#REF!</v>
      </c>
      <c r="O260" s="114" t="e">
        <f>SUMIF(#REF!,C260,#REF!)</f>
        <v>#REF!</v>
      </c>
      <c r="P260" s="114" t="s">
        <v>29</v>
      </c>
    </row>
    <row r="261" spans="1:16" s="34" customFormat="1" ht="26" x14ac:dyDescent="0.25">
      <c r="A261" s="56"/>
      <c r="B261" s="134"/>
      <c r="C261" s="201" t="s">
        <v>1435</v>
      </c>
      <c r="D261" s="58" t="s">
        <v>1104</v>
      </c>
      <c r="E261" s="200" t="s">
        <v>971</v>
      </c>
      <c r="F261" s="316">
        <v>499.34399999999999</v>
      </c>
      <c r="G261" s="207">
        <f t="shared" si="45"/>
        <v>1581.7390416226087</v>
      </c>
      <c r="H261" s="187">
        <v>106590</v>
      </c>
      <c r="I261" s="244"/>
      <c r="J261" s="244"/>
      <c r="K261" s="186">
        <f t="shared" si="46"/>
        <v>789831.89999999991</v>
      </c>
      <c r="L261" s="321" t="e">
        <f t="shared" si="47"/>
        <v>#REF!</v>
      </c>
      <c r="M261" s="459"/>
      <c r="N261" s="131" t="e">
        <f>IF(ISNA(MATCH(C261,#REF!,0)),"",INDEX(#REF!,MATCH(C261,#REF!,0)))</f>
        <v>#REF!</v>
      </c>
      <c r="O261" s="114" t="e">
        <f>SUMIF(#REF!,C261,#REF!)</f>
        <v>#REF!</v>
      </c>
      <c r="P261" s="114" t="s">
        <v>29</v>
      </c>
    </row>
    <row r="262" spans="1:16" s="34" customFormat="1" ht="52" x14ac:dyDescent="0.25">
      <c r="A262" s="56"/>
      <c r="B262" s="134"/>
      <c r="C262" s="201" t="s">
        <v>1436</v>
      </c>
      <c r="D262" s="58" t="s">
        <v>1105</v>
      </c>
      <c r="E262" s="200" t="s">
        <v>969</v>
      </c>
      <c r="F262" s="316">
        <v>0.94899999999999995</v>
      </c>
      <c r="G262" s="207">
        <f t="shared" si="45"/>
        <v>166955.34246575343</v>
      </c>
      <c r="H262" s="187">
        <f>1469+8410+11503</f>
        <v>21382</v>
      </c>
      <c r="I262" s="244"/>
      <c r="J262" s="244"/>
      <c r="K262" s="186">
        <f t="shared" si="46"/>
        <v>158440.62</v>
      </c>
      <c r="L262" s="321" t="e">
        <f t="shared" si="47"/>
        <v>#REF!</v>
      </c>
      <c r="M262" s="459"/>
      <c r="N262" s="131" t="e">
        <f>IF(ISNA(MATCH(C262,#REF!,0)),"",INDEX(#REF!,MATCH(C262,#REF!,0)))</f>
        <v>#REF!</v>
      </c>
      <c r="O262" s="114" t="e">
        <f>SUMIF(#REF!,C262,#REF!)</f>
        <v>#REF!</v>
      </c>
      <c r="P262" s="114" t="s">
        <v>29</v>
      </c>
    </row>
    <row r="263" spans="1:16" s="34" customFormat="1" ht="52" x14ac:dyDescent="0.25">
      <c r="A263" s="56"/>
      <c r="B263" s="134"/>
      <c r="C263" s="201" t="s">
        <v>1437</v>
      </c>
      <c r="D263" s="58" t="s">
        <v>211</v>
      </c>
      <c r="E263" s="200" t="s">
        <v>826</v>
      </c>
      <c r="F263" s="316">
        <v>0.1159</v>
      </c>
      <c r="G263" s="207">
        <f t="shared" si="45"/>
        <v>1268075.4098360655</v>
      </c>
      <c r="H263" s="187">
        <f>7150+4958+3694+4032</f>
        <v>19834</v>
      </c>
      <c r="I263" s="244"/>
      <c r="J263" s="244"/>
      <c r="K263" s="186">
        <f t="shared" si="46"/>
        <v>146969.94</v>
      </c>
      <c r="L263" s="321" t="e">
        <f t="shared" si="47"/>
        <v>#REF!</v>
      </c>
      <c r="M263" s="459"/>
      <c r="N263" s="131" t="e">
        <f>IF(ISNA(MATCH(C263,#REF!,0)),"",INDEX(#REF!,MATCH(C263,#REF!,0)))</f>
        <v>#REF!</v>
      </c>
      <c r="O263" s="114" t="e">
        <f>SUMIF(#REF!,C263,#REF!)</f>
        <v>#REF!</v>
      </c>
      <c r="P263" s="114" t="s">
        <v>29</v>
      </c>
    </row>
    <row r="264" spans="1:16" s="34" customFormat="1" ht="26" x14ac:dyDescent="0.25">
      <c r="A264" s="56"/>
      <c r="B264" s="134"/>
      <c r="C264" s="201" t="s">
        <v>1438</v>
      </c>
      <c r="D264" s="188" t="s">
        <v>829</v>
      </c>
      <c r="E264" s="183" t="s">
        <v>720</v>
      </c>
      <c r="F264" s="316">
        <v>325.53199999999998</v>
      </c>
      <c r="G264" s="207">
        <f t="shared" si="45"/>
        <v>236.66419891132054</v>
      </c>
      <c r="H264" s="243">
        <f>7685+949+1763</f>
        <v>10397</v>
      </c>
      <c r="I264" s="354"/>
      <c r="J264" s="354"/>
      <c r="K264" s="186">
        <f t="shared" si="46"/>
        <v>77041.76999999999</v>
      </c>
      <c r="L264" s="321" t="e">
        <f t="shared" si="47"/>
        <v>#REF!</v>
      </c>
      <c r="M264" s="459"/>
      <c r="N264" s="123" t="e">
        <f>IF(ISNA(MATCH(C264,#REF!,0)),"",INDEX(#REF!,MATCH(C264,#REF!,0)))</f>
        <v>#REF!</v>
      </c>
      <c r="O264" s="124" t="e">
        <f>SUMIF(#REF!,C264,#REF!)</f>
        <v>#REF!</v>
      </c>
      <c r="P264" s="124" t="s">
        <v>29</v>
      </c>
    </row>
    <row r="265" spans="1:16" s="34" customFormat="1" ht="26" x14ac:dyDescent="0.25">
      <c r="A265" s="56"/>
      <c r="B265" s="134"/>
      <c r="C265" s="201" t="s">
        <v>1439</v>
      </c>
      <c r="D265" s="228" t="s">
        <v>212</v>
      </c>
      <c r="E265" s="183" t="s">
        <v>977</v>
      </c>
      <c r="F265" s="316">
        <v>3.2549999999999999</v>
      </c>
      <c r="G265" s="207">
        <f t="shared" si="45"/>
        <v>3344.175115207373</v>
      </c>
      <c r="H265" s="243">
        <f>1302+167</f>
        <v>1469</v>
      </c>
      <c r="I265" s="354"/>
      <c r="J265" s="354"/>
      <c r="K265" s="186">
        <f t="shared" si="46"/>
        <v>10885.289999999999</v>
      </c>
      <c r="L265" s="321" t="e">
        <f t="shared" si="47"/>
        <v>#REF!</v>
      </c>
      <c r="M265" s="459"/>
      <c r="N265" s="123" t="e">
        <f>IF(ISNA(MATCH(C265,#REF!,0)),"",INDEX(#REF!,MATCH(C265,#REF!,0)))</f>
        <v>#REF!</v>
      </c>
      <c r="O265" s="124" t="e">
        <f>SUMIF(#REF!,C265,#REF!)</f>
        <v>#REF!</v>
      </c>
      <c r="P265" s="124" t="s">
        <v>29</v>
      </c>
    </row>
    <row r="266" spans="1:16" s="34" customFormat="1" ht="39" x14ac:dyDescent="0.25">
      <c r="A266" s="56"/>
      <c r="B266" s="134"/>
      <c r="C266" s="201" t="s">
        <v>1440</v>
      </c>
      <c r="D266" s="229" t="s">
        <v>961</v>
      </c>
      <c r="E266" s="230" t="s">
        <v>977</v>
      </c>
      <c r="F266" s="316">
        <v>3.2549999999999999</v>
      </c>
      <c r="G266" s="207">
        <f t="shared" si="45"/>
        <v>2888.8755760368663</v>
      </c>
      <c r="H266" s="243">
        <f>335+934</f>
        <v>1269</v>
      </c>
      <c r="I266" s="354"/>
      <c r="J266" s="354"/>
      <c r="K266" s="186">
        <f t="shared" si="46"/>
        <v>9403.2899999999991</v>
      </c>
      <c r="L266" s="321" t="e">
        <f t="shared" si="47"/>
        <v>#REF!</v>
      </c>
      <c r="M266" s="459"/>
      <c r="N266" s="131" t="e">
        <f>IF(ISNA(MATCH(C266,#REF!,0)),"",INDEX(#REF!,MATCH(C266,#REF!,0)))</f>
        <v>#REF!</v>
      </c>
      <c r="O266" s="114" t="e">
        <f>SUMIF(#REF!,C266,#REF!)</f>
        <v>#REF!</v>
      </c>
      <c r="P266" s="114" t="s">
        <v>29</v>
      </c>
    </row>
    <row r="267" spans="1:16" s="34" customFormat="1" ht="65" x14ac:dyDescent="0.25">
      <c r="A267" s="56"/>
      <c r="B267" s="134"/>
      <c r="C267" s="201" t="s">
        <v>1441</v>
      </c>
      <c r="D267" s="59" t="s">
        <v>1107</v>
      </c>
      <c r="E267" s="200" t="s">
        <v>969</v>
      </c>
      <c r="F267" s="316">
        <v>4.9029999999999996</v>
      </c>
      <c r="G267" s="207">
        <f t="shared" si="45"/>
        <v>42812.661635733224</v>
      </c>
      <c r="H267" s="243">
        <f>3325+20430+2153+161+542+510+1204+3</f>
        <v>28328</v>
      </c>
      <c r="I267" s="354"/>
      <c r="J267" s="354"/>
      <c r="K267" s="186">
        <f t="shared" si="46"/>
        <v>209910.47999999998</v>
      </c>
      <c r="L267" s="321" t="e">
        <f t="shared" si="47"/>
        <v>#REF!</v>
      </c>
      <c r="M267" s="459"/>
      <c r="N267" s="131" t="e">
        <f>IF(ISNA(MATCH(C267,#REF!,0)),"",INDEX(#REF!,MATCH(C267,#REF!,0)))</f>
        <v>#REF!</v>
      </c>
      <c r="O267" s="114" t="e">
        <f>SUMIF(#REF!,C267,#REF!)</f>
        <v>#REF!</v>
      </c>
      <c r="P267" s="114" t="s">
        <v>29</v>
      </c>
    </row>
    <row r="268" spans="1:16" s="34" customFormat="1" ht="26" x14ac:dyDescent="0.25">
      <c r="A268" s="56"/>
      <c r="B268" s="134"/>
      <c r="C268" s="201" t="s">
        <v>1442</v>
      </c>
      <c r="D268" s="58" t="s">
        <v>1106</v>
      </c>
      <c r="E268" s="200" t="s">
        <v>971</v>
      </c>
      <c r="F268" s="316">
        <v>18.260999999999999</v>
      </c>
      <c r="G268" s="207">
        <f t="shared" si="45"/>
        <v>2207.4585181534417</v>
      </c>
      <c r="H268" s="191">
        <v>5440</v>
      </c>
      <c r="I268" s="346"/>
      <c r="J268" s="346"/>
      <c r="K268" s="186">
        <f t="shared" si="46"/>
        <v>40310.399999999994</v>
      </c>
      <c r="L268" s="321" t="e">
        <f t="shared" si="47"/>
        <v>#REF!</v>
      </c>
      <c r="M268" s="459"/>
      <c r="N268" s="131" t="e">
        <f>IF(ISNA(MATCH(C268,#REF!,0)),"",INDEX(#REF!,MATCH(C268,#REF!,0)))</f>
        <v>#REF!</v>
      </c>
      <c r="O268" s="114" t="e">
        <f>SUMIF(#REF!,C268,#REF!)</f>
        <v>#REF!</v>
      </c>
      <c r="P268" s="114" t="s">
        <v>29</v>
      </c>
    </row>
    <row r="269" spans="1:16" s="34" customFormat="1" ht="26" x14ac:dyDescent="0.25">
      <c r="A269" s="56"/>
      <c r="B269" s="134"/>
      <c r="C269" s="201" t="s">
        <v>1443</v>
      </c>
      <c r="D269" s="58" t="s">
        <v>1104</v>
      </c>
      <c r="E269" s="200" t="s">
        <v>971</v>
      </c>
      <c r="F269" s="316">
        <v>120.503</v>
      </c>
      <c r="G269" s="207">
        <f t="shared" si="45"/>
        <v>1581.7650182982995</v>
      </c>
      <c r="H269" s="191">
        <v>25723</v>
      </c>
      <c r="I269" s="346"/>
      <c r="J269" s="346"/>
      <c r="K269" s="186">
        <f t="shared" si="46"/>
        <v>190607.43</v>
      </c>
      <c r="L269" s="321" t="e">
        <f t="shared" si="47"/>
        <v>#REF!</v>
      </c>
      <c r="M269" s="459"/>
      <c r="N269" s="131" t="e">
        <f>IF(ISNA(MATCH(C269,#REF!,0)),"",INDEX(#REF!,MATCH(C269,#REF!,0)))</f>
        <v>#REF!</v>
      </c>
      <c r="O269" s="114" t="e">
        <f>SUMIF(#REF!,C269,#REF!)</f>
        <v>#REF!</v>
      </c>
      <c r="P269" s="114" t="s">
        <v>29</v>
      </c>
    </row>
    <row r="270" spans="1:16" s="34" customFormat="1" ht="26" x14ac:dyDescent="0.25">
      <c r="A270" s="56"/>
      <c r="B270" s="134"/>
      <c r="C270" s="201" t="s">
        <v>1444</v>
      </c>
      <c r="D270" s="188" t="s">
        <v>829</v>
      </c>
      <c r="E270" s="200" t="s">
        <v>720</v>
      </c>
      <c r="F270" s="316">
        <v>91.352000000000004</v>
      </c>
      <c r="G270" s="207">
        <f t="shared" si="45"/>
        <v>236.77412645590681</v>
      </c>
      <c r="H270" s="243">
        <f>2157+267+495</f>
        <v>2919</v>
      </c>
      <c r="I270" s="354"/>
      <c r="J270" s="354"/>
      <c r="K270" s="186">
        <f t="shared" si="46"/>
        <v>21629.79</v>
      </c>
      <c r="L270" s="321" t="e">
        <f t="shared" si="47"/>
        <v>#REF!</v>
      </c>
      <c r="M270" s="459"/>
      <c r="N270" s="131" t="e">
        <f>IF(ISNA(MATCH(C270,#REF!,0)),"",INDEX(#REF!,MATCH(C270,#REF!,0)))</f>
        <v>#REF!</v>
      </c>
      <c r="O270" s="114" t="e">
        <f>SUMIF(#REF!,C270,#REF!)</f>
        <v>#REF!</v>
      </c>
      <c r="P270" s="114" t="s">
        <v>29</v>
      </c>
    </row>
    <row r="271" spans="1:16" s="34" customFormat="1" ht="26" x14ac:dyDescent="0.25">
      <c r="A271" s="56"/>
      <c r="B271" s="134"/>
      <c r="C271" s="201" t="s">
        <v>1445</v>
      </c>
      <c r="D271" s="188" t="s">
        <v>832</v>
      </c>
      <c r="E271" s="183" t="s">
        <v>977</v>
      </c>
      <c r="F271" s="316">
        <v>0.91352</v>
      </c>
      <c r="G271" s="207">
        <f t="shared" si="45"/>
        <v>2879.5757071547418</v>
      </c>
      <c r="H271" s="243">
        <v>355</v>
      </c>
      <c r="I271" s="354"/>
      <c r="J271" s="354"/>
      <c r="K271" s="186">
        <f t="shared" si="46"/>
        <v>2630.5499999999997</v>
      </c>
      <c r="L271" s="321" t="e">
        <f t="shared" si="47"/>
        <v>#REF!</v>
      </c>
      <c r="M271" s="459"/>
      <c r="N271" s="123" t="e">
        <f>IF(ISNA(MATCH(C271,#REF!,0)),"",INDEX(#REF!,MATCH(C271,#REF!,0)))</f>
        <v>#REF!</v>
      </c>
      <c r="O271" s="124" t="e">
        <f>SUMIF(#REF!,C271,#REF!)</f>
        <v>#REF!</v>
      </c>
      <c r="P271" s="124" t="s">
        <v>29</v>
      </c>
    </row>
    <row r="272" spans="1:16" s="34" customFormat="1" ht="26" x14ac:dyDescent="0.25">
      <c r="A272" s="56"/>
      <c r="B272" s="134"/>
      <c r="C272" s="201" t="s">
        <v>1446</v>
      </c>
      <c r="D272" s="188" t="s">
        <v>833</v>
      </c>
      <c r="E272" s="183" t="s">
        <v>977</v>
      </c>
      <c r="F272" s="316">
        <v>0.91352</v>
      </c>
      <c r="G272" s="207">
        <f t="shared" si="45"/>
        <v>10512.479201331113</v>
      </c>
      <c r="H272" s="243">
        <v>1296</v>
      </c>
      <c r="I272" s="354"/>
      <c r="J272" s="354"/>
      <c r="K272" s="186">
        <f t="shared" si="46"/>
        <v>9603.3599999999988</v>
      </c>
      <c r="L272" s="321" t="e">
        <f t="shared" si="47"/>
        <v>#REF!</v>
      </c>
      <c r="M272" s="459"/>
      <c r="N272" s="123" t="e">
        <f>IF(ISNA(MATCH(C272,#REF!,0)),"",INDEX(#REF!,MATCH(C272,#REF!,0)))</f>
        <v>#REF!</v>
      </c>
      <c r="O272" s="124" t="e">
        <f>SUMIF(#REF!,C272,#REF!)</f>
        <v>#REF!</v>
      </c>
      <c r="P272" s="124" t="s">
        <v>29</v>
      </c>
    </row>
    <row r="273" spans="1:16" s="34" customFormat="1" ht="15.5" x14ac:dyDescent="0.25">
      <c r="A273" s="56"/>
      <c r="B273" s="148"/>
      <c r="C273" s="216" t="s">
        <v>1447</v>
      </c>
      <c r="D273" s="232" t="s">
        <v>1108</v>
      </c>
      <c r="E273" s="250"/>
      <c r="F273" s="251"/>
      <c r="G273" s="235"/>
      <c r="H273" s="301">
        <f>SUM(H274:H289)</f>
        <v>715925</v>
      </c>
      <c r="I273" s="343"/>
      <c r="J273" s="343"/>
      <c r="K273" s="236">
        <f>SUM(K274:K289)</f>
        <v>5305004.2499999991</v>
      </c>
      <c r="L273" s="236" t="e">
        <f>SUM(L274:L289)</f>
        <v>#REF!</v>
      </c>
      <c r="M273" s="459"/>
      <c r="N273" s="149" t="e">
        <f>IF(ISNA(MATCH(C273,#REF!,0)),"",INDEX(#REF!,MATCH(C273,#REF!,0)))</f>
        <v>#REF!</v>
      </c>
      <c r="O273" s="150" t="e">
        <f>SUMIF(#REF!,C273,#REF!)</f>
        <v>#REF!</v>
      </c>
      <c r="P273" s="150" t="s">
        <v>29</v>
      </c>
    </row>
    <row r="274" spans="1:16" s="34" customFormat="1" ht="52" x14ac:dyDescent="0.25">
      <c r="A274" s="56"/>
      <c r="B274" s="134"/>
      <c r="C274" s="201" t="s">
        <v>1448</v>
      </c>
      <c r="D274" s="58" t="s">
        <v>1110</v>
      </c>
      <c r="E274" s="200" t="s">
        <v>969</v>
      </c>
      <c r="F274" s="316">
        <v>33.546999999999997</v>
      </c>
      <c r="G274" s="207">
        <f t="shared" ref="G274:G289" si="48">K274/F274</f>
        <v>11944.972128655319</v>
      </c>
      <c r="H274" s="187">
        <f>44159+3424+6224+271</f>
        <v>54078</v>
      </c>
      <c r="I274" s="244"/>
      <c r="J274" s="244"/>
      <c r="K274" s="186">
        <f t="shared" ref="K274:K289" si="49">H274*$C$4*$C$5</f>
        <v>400717.98</v>
      </c>
      <c r="L274" s="321" t="e">
        <f t="shared" ref="L274:L289" si="50">IF(N274="поставка Заказчика",N274,K274)</f>
        <v>#REF!</v>
      </c>
      <c r="M274" s="459"/>
      <c r="N274" s="131" t="e">
        <f>IF(ISNA(MATCH(C274,#REF!,0)),"",INDEX(#REF!,MATCH(C274,#REF!,0)))</f>
        <v>#REF!</v>
      </c>
      <c r="O274" s="114" t="e">
        <f>SUMIF(#REF!,C274,#REF!)</f>
        <v>#REF!</v>
      </c>
      <c r="P274" s="114" t="s">
        <v>29</v>
      </c>
    </row>
    <row r="275" spans="1:16" s="34" customFormat="1" ht="26" x14ac:dyDescent="0.25">
      <c r="A275" s="56"/>
      <c r="B275" s="134"/>
      <c r="C275" s="201" t="s">
        <v>1449</v>
      </c>
      <c r="D275" s="58" t="s">
        <v>1104</v>
      </c>
      <c r="E275" s="200" t="s">
        <v>971</v>
      </c>
      <c r="F275" s="316">
        <v>742.56200000000001</v>
      </c>
      <c r="G275" s="207">
        <f t="shared" si="48"/>
        <v>1581.7357607849578</v>
      </c>
      <c r="H275" s="191">
        <v>158507</v>
      </c>
      <c r="I275" s="346"/>
      <c r="J275" s="346"/>
      <c r="K275" s="186">
        <f t="shared" si="49"/>
        <v>1174536.8699999999</v>
      </c>
      <c r="L275" s="321" t="e">
        <f t="shared" si="50"/>
        <v>#REF!</v>
      </c>
      <c r="M275" s="459"/>
      <c r="N275" s="131" t="e">
        <f>IF(ISNA(MATCH(C275,#REF!,0)),"",INDEX(#REF!,MATCH(C275,#REF!,0)))</f>
        <v>#REF!</v>
      </c>
      <c r="O275" s="114" t="e">
        <f>SUMIF(#REF!,C275,#REF!)</f>
        <v>#REF!</v>
      </c>
      <c r="P275" s="114" t="s">
        <v>29</v>
      </c>
    </row>
    <row r="276" spans="1:16" s="34" customFormat="1" ht="26" x14ac:dyDescent="0.25">
      <c r="A276" s="56"/>
      <c r="B276" s="134"/>
      <c r="C276" s="201" t="s">
        <v>1450</v>
      </c>
      <c r="D276" s="58" t="s">
        <v>1109</v>
      </c>
      <c r="E276" s="200" t="s">
        <v>971</v>
      </c>
      <c r="F276" s="316">
        <v>282.77999999999997</v>
      </c>
      <c r="G276" s="207">
        <f t="shared" si="48"/>
        <v>644.88330150647141</v>
      </c>
      <c r="H276" s="191">
        <v>24610</v>
      </c>
      <c r="I276" s="346"/>
      <c r="J276" s="346"/>
      <c r="K276" s="186">
        <f t="shared" si="49"/>
        <v>182360.09999999998</v>
      </c>
      <c r="L276" s="321" t="e">
        <f t="shared" si="50"/>
        <v>#REF!</v>
      </c>
      <c r="M276" s="459"/>
      <c r="N276" s="131" t="e">
        <f>IF(ISNA(MATCH(C276,#REF!,0)),"",INDEX(#REF!,MATCH(C276,#REF!,0)))</f>
        <v>#REF!</v>
      </c>
      <c r="O276" s="114" t="e">
        <f>SUMIF(#REF!,C276,#REF!)</f>
        <v>#REF!</v>
      </c>
      <c r="P276" s="114" t="s">
        <v>29</v>
      </c>
    </row>
    <row r="277" spans="1:16" s="34" customFormat="1" ht="26" x14ac:dyDescent="0.25">
      <c r="A277" s="56"/>
      <c r="B277" s="134"/>
      <c r="C277" s="201" t="s">
        <v>1451</v>
      </c>
      <c r="D277" s="58" t="s">
        <v>1106</v>
      </c>
      <c r="E277" s="200" t="s">
        <v>971</v>
      </c>
      <c r="F277" s="316">
        <v>168.761</v>
      </c>
      <c r="G277" s="207">
        <f t="shared" si="48"/>
        <v>2207.3554909013337</v>
      </c>
      <c r="H277" s="191">
        <v>50272</v>
      </c>
      <c r="I277" s="346"/>
      <c r="J277" s="346"/>
      <c r="K277" s="186">
        <f t="shared" si="49"/>
        <v>372515.51999999996</v>
      </c>
      <c r="L277" s="321" t="e">
        <f t="shared" si="50"/>
        <v>#REF!</v>
      </c>
      <c r="M277" s="459"/>
      <c r="N277" s="131" t="e">
        <f>IF(ISNA(MATCH(C277,#REF!,0)),"",INDEX(#REF!,MATCH(C277,#REF!,0)))</f>
        <v>#REF!</v>
      </c>
      <c r="O277" s="114" t="e">
        <f>SUMIF(#REF!,C277,#REF!)</f>
        <v>#REF!</v>
      </c>
      <c r="P277" s="114" t="s">
        <v>29</v>
      </c>
    </row>
    <row r="278" spans="1:16" s="34" customFormat="1" ht="52" x14ac:dyDescent="0.25">
      <c r="A278" s="56"/>
      <c r="B278" s="134"/>
      <c r="C278" s="201" t="s">
        <v>1452</v>
      </c>
      <c r="D278" s="58" t="s">
        <v>1105</v>
      </c>
      <c r="E278" s="200" t="s">
        <v>969</v>
      </c>
      <c r="F278" s="316">
        <f>2.96+3.149</f>
        <v>6.109</v>
      </c>
      <c r="G278" s="207">
        <f t="shared" si="48"/>
        <v>90422.862989032554</v>
      </c>
      <c r="H278" s="187">
        <f>4883+27906+41758</f>
        <v>74547</v>
      </c>
      <c r="I278" s="244"/>
      <c r="J278" s="244"/>
      <c r="K278" s="186">
        <f t="shared" si="49"/>
        <v>552393.2699999999</v>
      </c>
      <c r="L278" s="321" t="e">
        <f t="shared" si="50"/>
        <v>#REF!</v>
      </c>
      <c r="M278" s="459"/>
      <c r="N278" s="131" t="e">
        <f>IF(ISNA(MATCH(C278,#REF!,0)),"",INDEX(#REF!,MATCH(C278,#REF!,0)))</f>
        <v>#REF!</v>
      </c>
      <c r="O278" s="114" t="e">
        <f>SUMIF(#REF!,C278,#REF!)</f>
        <v>#REF!</v>
      </c>
      <c r="P278" s="114" t="s">
        <v>29</v>
      </c>
    </row>
    <row r="279" spans="1:16" s="34" customFormat="1" ht="52" x14ac:dyDescent="0.25">
      <c r="A279" s="56"/>
      <c r="B279" s="134"/>
      <c r="C279" s="201" t="s">
        <v>1453</v>
      </c>
      <c r="D279" s="58" t="s">
        <v>211</v>
      </c>
      <c r="E279" s="200" t="s">
        <v>826</v>
      </c>
      <c r="F279" s="316">
        <v>0.36015000000000003</v>
      </c>
      <c r="G279" s="207">
        <f t="shared" si="48"/>
        <v>1268084.2149104539</v>
      </c>
      <c r="H279" s="187">
        <f>22215+15409+11479+12530</f>
        <v>61633</v>
      </c>
      <c r="I279" s="244"/>
      <c r="J279" s="244"/>
      <c r="K279" s="186">
        <f t="shared" si="49"/>
        <v>456700.52999999997</v>
      </c>
      <c r="L279" s="321" t="e">
        <f t="shared" si="50"/>
        <v>#REF!</v>
      </c>
      <c r="M279" s="459"/>
      <c r="N279" s="131" t="e">
        <f>IF(ISNA(MATCH(C279,#REF!,0)),"",INDEX(#REF!,MATCH(C279,#REF!,0)))</f>
        <v>#REF!</v>
      </c>
      <c r="O279" s="114" t="e">
        <f>SUMIF(#REF!,C279,#REF!)</f>
        <v>#REF!</v>
      </c>
      <c r="P279" s="114" t="s">
        <v>29</v>
      </c>
    </row>
    <row r="280" spans="1:16" s="34" customFormat="1" ht="26" x14ac:dyDescent="0.25">
      <c r="A280" s="56"/>
      <c r="B280" s="134"/>
      <c r="C280" s="201" t="s">
        <v>1454</v>
      </c>
      <c r="D280" s="58" t="s">
        <v>223</v>
      </c>
      <c r="E280" s="183" t="s">
        <v>224</v>
      </c>
      <c r="F280" s="316">
        <v>0.03</v>
      </c>
      <c r="G280" s="207">
        <f t="shared" si="48"/>
        <v>24699.999999999996</v>
      </c>
      <c r="H280" s="187">
        <v>100</v>
      </c>
      <c r="I280" s="244"/>
      <c r="J280" s="244"/>
      <c r="K280" s="186">
        <f t="shared" si="49"/>
        <v>740.99999999999989</v>
      </c>
      <c r="L280" s="321" t="e">
        <f t="shared" si="50"/>
        <v>#REF!</v>
      </c>
      <c r="M280" s="459"/>
      <c r="N280" s="123" t="e">
        <f>IF(ISNA(MATCH(C280,#REF!,0)),"",INDEX(#REF!,MATCH(C280,#REF!,0)))</f>
        <v>#REF!</v>
      </c>
      <c r="O280" s="124" t="e">
        <f>SUMIF(#REF!,C280,#REF!)</f>
        <v>#REF!</v>
      </c>
      <c r="P280" s="124" t="s">
        <v>29</v>
      </c>
    </row>
    <row r="281" spans="1:16" s="34" customFormat="1" ht="26" x14ac:dyDescent="0.25">
      <c r="A281" s="56"/>
      <c r="B281" s="134"/>
      <c r="C281" s="201" t="s">
        <v>1455</v>
      </c>
      <c r="D281" s="58" t="s">
        <v>225</v>
      </c>
      <c r="E281" s="190" t="s">
        <v>969</v>
      </c>
      <c r="F281" s="316">
        <v>6.5000000000000002E-2</v>
      </c>
      <c r="G281" s="207">
        <f t="shared" si="48"/>
        <v>92111.999999999985</v>
      </c>
      <c r="H281" s="187">
        <f>44+271+301+72+120</f>
        <v>808</v>
      </c>
      <c r="I281" s="244"/>
      <c r="J281" s="244"/>
      <c r="K281" s="186">
        <f t="shared" si="49"/>
        <v>5987.2799999999988</v>
      </c>
      <c r="L281" s="321" t="e">
        <f t="shared" si="50"/>
        <v>#REF!</v>
      </c>
      <c r="M281" s="459"/>
      <c r="N281" s="319" t="e">
        <f>IF(ISNA(MATCH(C281,#REF!,0)),"",INDEX(#REF!,MATCH(C281,#REF!,0)))</f>
        <v>#REF!</v>
      </c>
      <c r="O281" s="113" t="e">
        <f>SUMIF(#REF!,C281,#REF!)</f>
        <v>#REF!</v>
      </c>
      <c r="P281" s="113" t="s">
        <v>29</v>
      </c>
    </row>
    <row r="282" spans="1:16" s="34" customFormat="1" ht="26" x14ac:dyDescent="0.25">
      <c r="A282" s="56"/>
      <c r="B282" s="134"/>
      <c r="C282" s="201" t="s">
        <v>1456</v>
      </c>
      <c r="D282" s="188" t="s">
        <v>829</v>
      </c>
      <c r="E282" s="183" t="s">
        <v>720</v>
      </c>
      <c r="F282" s="316">
        <v>562.66800000000001</v>
      </c>
      <c r="G282" s="207">
        <f t="shared" si="48"/>
        <v>236.68045810317983</v>
      </c>
      <c r="H282" s="243">
        <f>13283+1640+3049</f>
        <v>17972</v>
      </c>
      <c r="I282" s="354"/>
      <c r="J282" s="354"/>
      <c r="K282" s="186">
        <f t="shared" si="49"/>
        <v>133172.51999999999</v>
      </c>
      <c r="L282" s="321" t="e">
        <f t="shared" si="50"/>
        <v>#REF!</v>
      </c>
      <c r="M282" s="459"/>
      <c r="N282" s="123" t="e">
        <f>IF(ISNA(MATCH(C282,#REF!,0)),"",INDEX(#REF!,MATCH(C282,#REF!,0)))</f>
        <v>#REF!</v>
      </c>
      <c r="O282" s="124" t="e">
        <f>SUMIF(#REF!,C282,#REF!)</f>
        <v>#REF!</v>
      </c>
      <c r="P282" s="124" t="s">
        <v>29</v>
      </c>
    </row>
    <row r="283" spans="1:16" s="34" customFormat="1" ht="26" x14ac:dyDescent="0.25">
      <c r="A283" s="56"/>
      <c r="B283" s="134"/>
      <c r="C283" s="201" t="s">
        <v>1457</v>
      </c>
      <c r="D283" s="228" t="s">
        <v>212</v>
      </c>
      <c r="E283" s="183" t="s">
        <v>977</v>
      </c>
      <c r="F283" s="316">
        <v>5.6269999999999998</v>
      </c>
      <c r="G283" s="207">
        <f t="shared" si="48"/>
        <v>3346.154256264439</v>
      </c>
      <c r="H283" s="243">
        <f>2251+290</f>
        <v>2541</v>
      </c>
      <c r="I283" s="354"/>
      <c r="J283" s="354"/>
      <c r="K283" s="186">
        <f t="shared" si="49"/>
        <v>18828.809999999998</v>
      </c>
      <c r="L283" s="321" t="e">
        <f t="shared" si="50"/>
        <v>#REF!</v>
      </c>
      <c r="M283" s="459"/>
      <c r="N283" s="123" t="e">
        <f>IF(ISNA(MATCH(C283,#REF!,0)),"",INDEX(#REF!,MATCH(C283,#REF!,0)))</f>
        <v>#REF!</v>
      </c>
      <c r="O283" s="124" t="e">
        <f>SUMIF(#REF!,C283,#REF!)</f>
        <v>#REF!</v>
      </c>
      <c r="P283" s="124" t="s">
        <v>29</v>
      </c>
    </row>
    <row r="284" spans="1:16" s="34" customFormat="1" ht="39" x14ac:dyDescent="0.25">
      <c r="A284" s="56"/>
      <c r="B284" s="134"/>
      <c r="C284" s="201" t="s">
        <v>1458</v>
      </c>
      <c r="D284" s="229" t="s">
        <v>961</v>
      </c>
      <c r="E284" s="230" t="s">
        <v>977</v>
      </c>
      <c r="F284" s="316">
        <v>5.6269999999999998</v>
      </c>
      <c r="G284" s="207">
        <f t="shared" si="48"/>
        <v>2873.3996801137368</v>
      </c>
      <c r="H284" s="243">
        <f>581+1601</f>
        <v>2182</v>
      </c>
      <c r="I284" s="354"/>
      <c r="J284" s="354"/>
      <c r="K284" s="186">
        <f t="shared" si="49"/>
        <v>16168.619999999997</v>
      </c>
      <c r="L284" s="321" t="e">
        <f t="shared" si="50"/>
        <v>#REF!</v>
      </c>
      <c r="M284" s="459"/>
      <c r="N284" s="131" t="e">
        <f>IF(ISNA(MATCH(C284,#REF!,0)),"",INDEX(#REF!,MATCH(C284,#REF!,0)))</f>
        <v>#REF!</v>
      </c>
      <c r="O284" s="114" t="e">
        <f>SUMIF(#REF!,C284,#REF!)</f>
        <v>#REF!</v>
      </c>
      <c r="P284" s="114" t="s">
        <v>29</v>
      </c>
    </row>
    <row r="285" spans="1:16" s="34" customFormat="1" ht="52" x14ac:dyDescent="0.25">
      <c r="A285" s="56"/>
      <c r="B285" s="134"/>
      <c r="C285" s="201" t="s">
        <v>1459</v>
      </c>
      <c r="D285" s="59" t="s">
        <v>1111</v>
      </c>
      <c r="E285" s="230" t="s">
        <v>969</v>
      </c>
      <c r="F285" s="316">
        <v>3.72</v>
      </c>
      <c r="G285" s="207">
        <f t="shared" si="48"/>
        <v>92033.395161290318</v>
      </c>
      <c r="H285" s="243">
        <f>2625+16121+19408+266+6177+1606</f>
        <v>46203</v>
      </c>
      <c r="I285" s="354"/>
      <c r="J285" s="354"/>
      <c r="K285" s="186">
        <f t="shared" si="49"/>
        <v>342364.23</v>
      </c>
      <c r="L285" s="321" t="e">
        <f t="shared" si="50"/>
        <v>#REF!</v>
      </c>
      <c r="M285" s="459"/>
      <c r="N285" s="131" t="e">
        <f>IF(ISNA(MATCH(C285,#REF!,0)),"",INDEX(#REF!,MATCH(C285,#REF!,0)))</f>
        <v>#REF!</v>
      </c>
      <c r="O285" s="114" t="e">
        <f>SUMIF(#REF!,C285,#REF!)</f>
        <v>#REF!</v>
      </c>
      <c r="P285" s="114" t="s">
        <v>29</v>
      </c>
    </row>
    <row r="286" spans="1:16" s="34" customFormat="1" ht="52" x14ac:dyDescent="0.25">
      <c r="A286" s="56"/>
      <c r="B286" s="134"/>
      <c r="C286" s="201" t="s">
        <v>1460</v>
      </c>
      <c r="D286" s="58" t="s">
        <v>1112</v>
      </c>
      <c r="E286" s="200" t="s">
        <v>969</v>
      </c>
      <c r="F286" s="316">
        <v>11.347</v>
      </c>
      <c r="G286" s="207">
        <f t="shared" si="48"/>
        <v>127152.64827707763</v>
      </c>
      <c r="H286" s="243">
        <f>10943+47280+9925+2899+122303+240+201+919</f>
        <v>194710</v>
      </c>
      <c r="I286" s="354"/>
      <c r="J286" s="354"/>
      <c r="K286" s="186">
        <f t="shared" si="49"/>
        <v>1442801.0999999999</v>
      </c>
      <c r="L286" s="321" t="e">
        <f t="shared" si="50"/>
        <v>#REF!</v>
      </c>
      <c r="M286" s="459"/>
      <c r="N286" s="131" t="e">
        <f>IF(ISNA(MATCH(C286,#REF!,0)),"",INDEX(#REF!,MATCH(C286,#REF!,0)))</f>
        <v>#REF!</v>
      </c>
      <c r="O286" s="114" t="e">
        <f>SUMIF(#REF!,C286,#REF!)</f>
        <v>#REF!</v>
      </c>
      <c r="P286" s="114" t="s">
        <v>29</v>
      </c>
    </row>
    <row r="287" spans="1:16" s="34" customFormat="1" ht="26" x14ac:dyDescent="0.25">
      <c r="A287" s="56"/>
      <c r="B287" s="134"/>
      <c r="C287" s="201" t="s">
        <v>1461</v>
      </c>
      <c r="D287" s="58" t="s">
        <v>829</v>
      </c>
      <c r="E287" s="200" t="s">
        <v>720</v>
      </c>
      <c r="F287" s="316">
        <v>555.15</v>
      </c>
      <c r="G287" s="207">
        <f t="shared" si="48"/>
        <v>236.70888948932722</v>
      </c>
      <c r="H287" s="243">
        <f>13107+1619+3008</f>
        <v>17734</v>
      </c>
      <c r="I287" s="354"/>
      <c r="J287" s="354"/>
      <c r="K287" s="186">
        <f t="shared" si="49"/>
        <v>131408.94</v>
      </c>
      <c r="L287" s="321" t="e">
        <f t="shared" si="50"/>
        <v>#REF!</v>
      </c>
      <c r="M287" s="459"/>
      <c r="N287" s="131" t="e">
        <f>IF(ISNA(MATCH(C287,#REF!,0)),"",INDEX(#REF!,MATCH(C287,#REF!,0)))</f>
        <v>#REF!</v>
      </c>
      <c r="O287" s="114" t="e">
        <f>SUMIF(#REF!,C287,#REF!)</f>
        <v>#REF!</v>
      </c>
      <c r="P287" s="114" t="s">
        <v>29</v>
      </c>
    </row>
    <row r="288" spans="1:16" s="34" customFormat="1" ht="26" x14ac:dyDescent="0.25">
      <c r="A288" s="56"/>
      <c r="B288" s="134"/>
      <c r="C288" s="201" t="s">
        <v>1462</v>
      </c>
      <c r="D288" s="182" t="s">
        <v>832</v>
      </c>
      <c r="E288" s="183" t="s">
        <v>977</v>
      </c>
      <c r="F288" s="316">
        <v>5.5510000000000002</v>
      </c>
      <c r="G288" s="207">
        <f t="shared" si="48"/>
        <v>2876.6978922716626</v>
      </c>
      <c r="H288" s="243">
        <v>2155</v>
      </c>
      <c r="I288" s="354"/>
      <c r="J288" s="354"/>
      <c r="K288" s="186">
        <f t="shared" si="49"/>
        <v>15968.55</v>
      </c>
      <c r="L288" s="321" t="e">
        <f t="shared" si="50"/>
        <v>#REF!</v>
      </c>
      <c r="M288" s="459"/>
      <c r="N288" s="123" t="e">
        <f>IF(ISNA(MATCH(C288,#REF!,0)),"",INDEX(#REF!,MATCH(C288,#REF!,0)))</f>
        <v>#REF!</v>
      </c>
      <c r="O288" s="124" t="e">
        <f>SUMIF(#REF!,C288,#REF!)</f>
        <v>#REF!</v>
      </c>
      <c r="P288" s="124" t="s">
        <v>29</v>
      </c>
    </row>
    <row r="289" spans="1:16" s="34" customFormat="1" ht="26" x14ac:dyDescent="0.25">
      <c r="A289" s="56"/>
      <c r="B289" s="134"/>
      <c r="C289" s="201" t="s">
        <v>1463</v>
      </c>
      <c r="D289" s="182" t="s">
        <v>833</v>
      </c>
      <c r="E289" s="183" t="s">
        <v>977</v>
      </c>
      <c r="F289" s="316">
        <v>5.5510000000000002</v>
      </c>
      <c r="G289" s="207">
        <f t="shared" si="48"/>
        <v>10509.625292740046</v>
      </c>
      <c r="H289" s="243">
        <v>7873</v>
      </c>
      <c r="I289" s="354"/>
      <c r="J289" s="354"/>
      <c r="K289" s="186">
        <f t="shared" si="49"/>
        <v>58338.929999999993</v>
      </c>
      <c r="L289" s="321" t="e">
        <f t="shared" si="50"/>
        <v>#REF!</v>
      </c>
      <c r="M289" s="459"/>
      <c r="N289" s="123" t="e">
        <f>IF(ISNA(MATCH(C289,#REF!,0)),"",INDEX(#REF!,MATCH(C289,#REF!,0)))</f>
        <v>#REF!</v>
      </c>
      <c r="O289" s="124" t="e">
        <f>SUMIF(#REF!,C289,#REF!)</f>
        <v>#REF!</v>
      </c>
      <c r="P289" s="124" t="s">
        <v>29</v>
      </c>
    </row>
    <row r="290" spans="1:16" s="34" customFormat="1" ht="15.5" x14ac:dyDescent="0.25">
      <c r="A290" s="56"/>
      <c r="B290" s="148"/>
      <c r="C290" s="216" t="s">
        <v>1464</v>
      </c>
      <c r="D290" s="232" t="s">
        <v>1113</v>
      </c>
      <c r="E290" s="250"/>
      <c r="F290" s="251"/>
      <c r="G290" s="235"/>
      <c r="H290" s="301">
        <f>SUM(H291:H295)</f>
        <v>5319</v>
      </c>
      <c r="I290" s="343"/>
      <c r="J290" s="343"/>
      <c r="K290" s="236">
        <f>SUM(K291:K295)</f>
        <v>39413.789999999994</v>
      </c>
      <c r="L290" s="236" t="e">
        <f>SUM(L291:L295)</f>
        <v>#REF!</v>
      </c>
      <c r="M290" s="459"/>
      <c r="N290" s="149" t="e">
        <f>IF(ISNA(MATCH(C290,#REF!,0)),"",INDEX(#REF!,MATCH(C290,#REF!,0)))</f>
        <v>#REF!</v>
      </c>
      <c r="O290" s="150" t="e">
        <f>SUMIF(#REF!,C290,#REF!)</f>
        <v>#REF!</v>
      </c>
      <c r="P290" s="150" t="s">
        <v>29</v>
      </c>
    </row>
    <row r="291" spans="1:16" s="34" customFormat="1" ht="39" x14ac:dyDescent="0.25">
      <c r="A291" s="56"/>
      <c r="B291" s="134"/>
      <c r="C291" s="201" t="s">
        <v>1465</v>
      </c>
      <c r="D291" s="58" t="s">
        <v>1114</v>
      </c>
      <c r="E291" s="601" t="s">
        <v>977</v>
      </c>
      <c r="F291" s="316">
        <v>0.05</v>
      </c>
      <c r="G291" s="207">
        <f>K291/F291</f>
        <v>213407.99999999997</v>
      </c>
      <c r="H291" s="187">
        <f>35+311+598+496</f>
        <v>1440</v>
      </c>
      <c r="I291" s="244"/>
      <c r="J291" s="244"/>
      <c r="K291" s="186">
        <f>H291*$C$4*$C$5</f>
        <v>10670.4</v>
      </c>
      <c r="L291" s="321" t="e">
        <f>IF(N291="поставка Заказчика",N291,K291)</f>
        <v>#REF!</v>
      </c>
      <c r="M291" s="459"/>
      <c r="N291" s="319" t="e">
        <f>IF(ISNA(MATCH(C291,#REF!,0)),"",INDEX(#REF!,MATCH(C291,#REF!,0)))</f>
        <v>#REF!</v>
      </c>
      <c r="O291" s="113" t="e">
        <f>SUMIF(#REF!,C291,#REF!)</f>
        <v>#REF!</v>
      </c>
      <c r="P291" s="113" t="s">
        <v>29</v>
      </c>
    </row>
    <row r="292" spans="1:16" s="34" customFormat="1" ht="39" x14ac:dyDescent="0.25">
      <c r="A292" s="56"/>
      <c r="B292" s="134"/>
      <c r="C292" s="201" t="s">
        <v>1466</v>
      </c>
      <c r="D292" s="58" t="s">
        <v>1115</v>
      </c>
      <c r="E292" s="601" t="s">
        <v>969</v>
      </c>
      <c r="F292" s="316">
        <v>0.24399999999999999</v>
      </c>
      <c r="G292" s="207">
        <f>K292/F292</f>
        <v>106412.45901639343</v>
      </c>
      <c r="H292" s="187">
        <f>165+1017+457+1401+463+1</f>
        <v>3504</v>
      </c>
      <c r="I292" s="244"/>
      <c r="J292" s="244"/>
      <c r="K292" s="186">
        <f>H292*$C$4*$C$5</f>
        <v>25964.639999999996</v>
      </c>
      <c r="L292" s="321" t="e">
        <f>IF(N292="поставка Заказчика",N292,K292)</f>
        <v>#REF!</v>
      </c>
      <c r="M292" s="459"/>
      <c r="N292" s="319" t="e">
        <f>IF(ISNA(MATCH(C292,#REF!,0)),"",INDEX(#REF!,MATCH(C292,#REF!,0)))</f>
        <v>#REF!</v>
      </c>
      <c r="O292" s="113" t="e">
        <f>SUMIF(#REF!,C292,#REF!)</f>
        <v>#REF!</v>
      </c>
      <c r="P292" s="113" t="s">
        <v>29</v>
      </c>
    </row>
    <row r="293" spans="1:16" s="34" customFormat="1" ht="26" x14ac:dyDescent="0.25">
      <c r="A293" s="56"/>
      <c r="B293" s="134"/>
      <c r="C293" s="201" t="s">
        <v>1467</v>
      </c>
      <c r="D293" s="188" t="s">
        <v>829</v>
      </c>
      <c r="E293" s="183" t="s">
        <v>720</v>
      </c>
      <c r="F293" s="316">
        <v>7.5010000000000003</v>
      </c>
      <c r="G293" s="207">
        <f>K293/F293</f>
        <v>236.10051993067586</v>
      </c>
      <c r="H293" s="243">
        <f>177+22+40</f>
        <v>239</v>
      </c>
      <c r="I293" s="354"/>
      <c r="J293" s="354"/>
      <c r="K293" s="186">
        <f>H293*$C$4*$C$5</f>
        <v>1770.9899999999998</v>
      </c>
      <c r="L293" s="321" t="e">
        <f>IF(N293="поставка Заказчика",N293,K293)</f>
        <v>#REF!</v>
      </c>
      <c r="M293" s="459"/>
      <c r="N293" s="123" t="e">
        <f>IF(ISNA(MATCH(C293,#REF!,0)),"",INDEX(#REF!,MATCH(C293,#REF!,0)))</f>
        <v>#REF!</v>
      </c>
      <c r="O293" s="124" t="e">
        <f>SUMIF(#REF!,C293,#REF!)</f>
        <v>#REF!</v>
      </c>
      <c r="P293" s="124" t="s">
        <v>29</v>
      </c>
    </row>
    <row r="294" spans="1:16" s="34" customFormat="1" ht="26" x14ac:dyDescent="0.25">
      <c r="A294" s="56"/>
      <c r="B294" s="134"/>
      <c r="C294" s="201" t="s">
        <v>1468</v>
      </c>
      <c r="D294" s="182" t="s">
        <v>832</v>
      </c>
      <c r="E294" s="183" t="s">
        <v>977</v>
      </c>
      <c r="F294" s="316">
        <v>7.5009999999999993E-2</v>
      </c>
      <c r="G294" s="207">
        <f>K294/F294</f>
        <v>2963.6048526863087</v>
      </c>
      <c r="H294" s="243">
        <v>30</v>
      </c>
      <c r="I294" s="354"/>
      <c r="J294" s="354"/>
      <c r="K294" s="186">
        <f>H294*$C$4*$C$5</f>
        <v>222.29999999999998</v>
      </c>
      <c r="L294" s="321" t="e">
        <f>IF(N294="поставка Заказчика",N294,K294)</f>
        <v>#REF!</v>
      </c>
      <c r="M294" s="459"/>
      <c r="N294" s="123" t="e">
        <f>IF(ISNA(MATCH(C294,#REF!,0)),"",INDEX(#REF!,MATCH(C294,#REF!,0)))</f>
        <v>#REF!</v>
      </c>
      <c r="O294" s="124" t="e">
        <f>SUMIF(#REF!,C294,#REF!)</f>
        <v>#REF!</v>
      </c>
      <c r="P294" s="124" t="s">
        <v>29</v>
      </c>
    </row>
    <row r="295" spans="1:16" s="34" customFormat="1" ht="26" x14ac:dyDescent="0.25">
      <c r="A295" s="56"/>
      <c r="B295" s="134"/>
      <c r="C295" s="201" t="s">
        <v>1469</v>
      </c>
      <c r="D295" s="182" t="s">
        <v>833</v>
      </c>
      <c r="E295" s="183" t="s">
        <v>977</v>
      </c>
      <c r="F295" s="316">
        <v>7.5009999999999993E-2</v>
      </c>
      <c r="G295" s="207">
        <f>K295/F295</f>
        <v>10471.403812824956</v>
      </c>
      <c r="H295" s="243">
        <v>106</v>
      </c>
      <c r="I295" s="354"/>
      <c r="J295" s="354"/>
      <c r="K295" s="186">
        <f>H295*$C$4*$C$5</f>
        <v>785.45999999999992</v>
      </c>
      <c r="L295" s="321" t="e">
        <f>IF(N295="поставка Заказчика",N295,K295)</f>
        <v>#REF!</v>
      </c>
      <c r="M295" s="459"/>
      <c r="N295" s="123" t="e">
        <f>IF(ISNA(MATCH(C295,#REF!,0)),"",INDEX(#REF!,MATCH(C295,#REF!,0)))</f>
        <v>#REF!</v>
      </c>
      <c r="O295" s="124" t="e">
        <f>SUMIF(#REF!,C295,#REF!)</f>
        <v>#REF!</v>
      </c>
      <c r="P295" s="124" t="s">
        <v>29</v>
      </c>
    </row>
    <row r="296" spans="1:16" s="34" customFormat="1" ht="26" x14ac:dyDescent="0.25">
      <c r="A296" s="56"/>
      <c r="B296" s="148"/>
      <c r="C296" s="216" t="s">
        <v>1470</v>
      </c>
      <c r="D296" s="232" t="s">
        <v>1116</v>
      </c>
      <c r="E296" s="250"/>
      <c r="F296" s="251"/>
      <c r="G296" s="235"/>
      <c r="H296" s="301">
        <f>SUM(H297:H301)</f>
        <v>2687</v>
      </c>
      <c r="I296" s="343"/>
      <c r="J296" s="343"/>
      <c r="K296" s="236">
        <f>SUM(K297:K301)</f>
        <v>19910.670000000002</v>
      </c>
      <c r="L296" s="236" t="e">
        <f>SUM(L297:L301)</f>
        <v>#REF!</v>
      </c>
      <c r="M296" s="459"/>
      <c r="N296" s="149" t="e">
        <f>IF(ISNA(MATCH(C296,#REF!,0)),"",INDEX(#REF!,MATCH(C296,#REF!,0)))</f>
        <v>#REF!</v>
      </c>
      <c r="O296" s="150" t="e">
        <f>SUMIF(#REF!,C296,#REF!)</f>
        <v>#REF!</v>
      </c>
      <c r="P296" s="150" t="s">
        <v>29</v>
      </c>
    </row>
    <row r="297" spans="1:16" s="34" customFormat="1" ht="39" x14ac:dyDescent="0.25">
      <c r="A297" s="56"/>
      <c r="B297" s="134"/>
      <c r="C297" s="201" t="s">
        <v>1471</v>
      </c>
      <c r="D297" s="58" t="s">
        <v>1117</v>
      </c>
      <c r="E297" s="601" t="s">
        <v>977</v>
      </c>
      <c r="F297" s="316">
        <v>1.1259999999999999E-2</v>
      </c>
      <c r="G297" s="207">
        <f>K297/F297</f>
        <v>204663.41030195382</v>
      </c>
      <c r="H297" s="187">
        <f>6+58+135+112</f>
        <v>311</v>
      </c>
      <c r="I297" s="244"/>
      <c r="J297" s="244"/>
      <c r="K297" s="186">
        <f>H297*$C$4*$C$5</f>
        <v>2304.5099999999998</v>
      </c>
      <c r="L297" s="321" t="e">
        <f>IF(N297="поставка Заказчика",N297,K297)</f>
        <v>#REF!</v>
      </c>
      <c r="M297" s="459"/>
      <c r="N297" s="319" t="e">
        <f>IF(ISNA(MATCH(C297,#REF!,0)),"",INDEX(#REF!,MATCH(C297,#REF!,0)))</f>
        <v>#REF!</v>
      </c>
      <c r="O297" s="113" t="e">
        <f>SUMIF(#REF!,C297,#REF!)</f>
        <v>#REF!</v>
      </c>
      <c r="P297" s="113" t="s">
        <v>29</v>
      </c>
    </row>
    <row r="298" spans="1:16" s="34" customFormat="1" ht="39" x14ac:dyDescent="0.25">
      <c r="A298" s="56"/>
      <c r="B298" s="134"/>
      <c r="C298" s="201" t="s">
        <v>1472</v>
      </c>
      <c r="D298" s="58" t="s">
        <v>1115</v>
      </c>
      <c r="E298" s="601" t="s">
        <v>969</v>
      </c>
      <c r="F298" s="316">
        <v>0.15</v>
      </c>
      <c r="G298" s="207">
        <f>K298/F298</f>
        <v>104678.59999999999</v>
      </c>
      <c r="H298" s="187">
        <f>101+625+313+640+441-1</f>
        <v>2119</v>
      </c>
      <c r="I298" s="244"/>
      <c r="J298" s="244"/>
      <c r="K298" s="186">
        <f>H298*$C$4*$C$5</f>
        <v>15701.789999999999</v>
      </c>
      <c r="L298" s="321" t="e">
        <f>IF(N298="поставка Заказчика",N298,K298)</f>
        <v>#REF!</v>
      </c>
      <c r="M298" s="459"/>
      <c r="N298" s="319" t="e">
        <f>IF(ISNA(MATCH(C298,#REF!,0)),"",INDEX(#REF!,MATCH(C298,#REF!,0)))</f>
        <v>#REF!</v>
      </c>
      <c r="O298" s="113" t="e">
        <f>SUMIF(#REF!,C298,#REF!)</f>
        <v>#REF!</v>
      </c>
      <c r="P298" s="113" t="s">
        <v>29</v>
      </c>
    </row>
    <row r="299" spans="1:16" s="34" customFormat="1" ht="26" x14ac:dyDescent="0.25">
      <c r="A299" s="56"/>
      <c r="B299" s="134"/>
      <c r="C299" s="201" t="s">
        <v>1473</v>
      </c>
      <c r="D299" s="188" t="s">
        <v>829</v>
      </c>
      <c r="E299" s="183" t="s">
        <v>720</v>
      </c>
      <c r="F299" s="316">
        <v>5.1239999999999997</v>
      </c>
      <c r="G299" s="207">
        <f>K299/F299</f>
        <v>238.61241217798593</v>
      </c>
      <c r="H299" s="243">
        <f>122+16+27</f>
        <v>165</v>
      </c>
      <c r="I299" s="354"/>
      <c r="J299" s="354"/>
      <c r="K299" s="186">
        <f>H299*$C$4*$C$5</f>
        <v>1222.6499999999999</v>
      </c>
      <c r="L299" s="321" t="e">
        <f>IF(N299="поставка Заказчика",N299,K299)</f>
        <v>#REF!</v>
      </c>
      <c r="M299" s="459"/>
      <c r="N299" s="123" t="e">
        <f>IF(ISNA(MATCH(C299,#REF!,0)),"",INDEX(#REF!,MATCH(C299,#REF!,0)))</f>
        <v>#REF!</v>
      </c>
      <c r="O299" s="124" t="e">
        <f>SUMIF(#REF!,C299,#REF!)</f>
        <v>#REF!</v>
      </c>
      <c r="P299" s="124" t="s">
        <v>29</v>
      </c>
    </row>
    <row r="300" spans="1:16" s="34" customFormat="1" ht="26" x14ac:dyDescent="0.25">
      <c r="A300" s="56"/>
      <c r="B300" s="134"/>
      <c r="C300" s="201" t="s">
        <v>1474</v>
      </c>
      <c r="D300" s="182" t="s">
        <v>832</v>
      </c>
      <c r="E300" s="183" t="s">
        <v>977</v>
      </c>
      <c r="F300" s="316">
        <v>5.1240000000000001E-2</v>
      </c>
      <c r="G300" s="207">
        <f>K300/F300</f>
        <v>2747.658079625292</v>
      </c>
      <c r="H300" s="243">
        <v>19</v>
      </c>
      <c r="I300" s="354"/>
      <c r="J300" s="354"/>
      <c r="K300" s="186">
        <f>H300*$C$4*$C$5</f>
        <v>140.78999999999996</v>
      </c>
      <c r="L300" s="321" t="e">
        <f>IF(N300="поставка Заказчика",N300,K300)</f>
        <v>#REF!</v>
      </c>
      <c r="M300" s="459"/>
      <c r="N300" s="123" t="e">
        <f>IF(ISNA(MATCH(C300,#REF!,0)),"",INDEX(#REF!,MATCH(C300,#REF!,0)))</f>
        <v>#REF!</v>
      </c>
      <c r="O300" s="124" t="e">
        <f>SUMIF(#REF!,C300,#REF!)</f>
        <v>#REF!</v>
      </c>
      <c r="P300" s="124" t="s">
        <v>29</v>
      </c>
    </row>
    <row r="301" spans="1:16" s="34" customFormat="1" ht="26" x14ac:dyDescent="0.25">
      <c r="A301" s="56"/>
      <c r="B301" s="134"/>
      <c r="C301" s="201" t="s">
        <v>1475</v>
      </c>
      <c r="D301" s="182" t="s">
        <v>833</v>
      </c>
      <c r="E301" s="183" t="s">
        <v>977</v>
      </c>
      <c r="F301" s="316">
        <v>5.1240000000000001E-2</v>
      </c>
      <c r="G301" s="207">
        <f>K301/F301</f>
        <v>10556.79156908665</v>
      </c>
      <c r="H301" s="243">
        <v>73</v>
      </c>
      <c r="I301" s="354"/>
      <c r="J301" s="354"/>
      <c r="K301" s="186">
        <f>H301*$C$4*$C$5</f>
        <v>540.92999999999995</v>
      </c>
      <c r="L301" s="321" t="e">
        <f>IF(N301="поставка Заказчика",N301,K301)</f>
        <v>#REF!</v>
      </c>
      <c r="M301" s="459"/>
      <c r="N301" s="123" t="e">
        <f>IF(ISNA(MATCH(C301,#REF!,0)),"",INDEX(#REF!,MATCH(C301,#REF!,0)))</f>
        <v>#REF!</v>
      </c>
      <c r="O301" s="124" t="e">
        <f>SUMIF(#REF!,C301,#REF!)</f>
        <v>#REF!</v>
      </c>
      <c r="P301" s="124" t="s">
        <v>29</v>
      </c>
    </row>
    <row r="302" spans="1:16" s="34" customFormat="1" ht="15.5" x14ac:dyDescent="0.25">
      <c r="A302" s="56"/>
      <c r="B302" s="148"/>
      <c r="C302" s="216" t="s">
        <v>1476</v>
      </c>
      <c r="D302" s="232" t="s">
        <v>1118</v>
      </c>
      <c r="E302" s="250"/>
      <c r="F302" s="251"/>
      <c r="G302" s="235"/>
      <c r="H302" s="301">
        <f>SUM(H303:H306)</f>
        <v>3277</v>
      </c>
      <c r="I302" s="343"/>
      <c r="J302" s="343"/>
      <c r="K302" s="236">
        <f>SUM(K303:K306)</f>
        <v>24282.569999999996</v>
      </c>
      <c r="L302" s="236" t="e">
        <f>SUM(L303:L306)</f>
        <v>#REF!</v>
      </c>
      <c r="M302" s="459"/>
      <c r="N302" s="149" t="e">
        <f>IF(ISNA(MATCH(C302,#REF!,0)),"",INDEX(#REF!,MATCH(C302,#REF!,0)))</f>
        <v>#REF!</v>
      </c>
      <c r="O302" s="150" t="e">
        <f>SUMIF(#REF!,C302,#REF!)</f>
        <v>#REF!</v>
      </c>
      <c r="P302" s="150" t="s">
        <v>29</v>
      </c>
    </row>
    <row r="303" spans="1:16" s="34" customFormat="1" ht="26" x14ac:dyDescent="0.25">
      <c r="A303" s="56"/>
      <c r="B303" s="134"/>
      <c r="C303" s="201" t="s">
        <v>1477</v>
      </c>
      <c r="D303" s="58" t="s">
        <v>1119</v>
      </c>
      <c r="E303" s="190" t="s">
        <v>977</v>
      </c>
      <c r="F303" s="316">
        <v>0.184</v>
      </c>
      <c r="G303" s="207">
        <f>K303/F303</f>
        <v>117190.76086956522</v>
      </c>
      <c r="H303" s="187">
        <f>164+767+1927+54-2</f>
        <v>2910</v>
      </c>
      <c r="I303" s="244"/>
      <c r="J303" s="244"/>
      <c r="K303" s="186">
        <f>H303*$C$4*$C$5</f>
        <v>21563.1</v>
      </c>
      <c r="L303" s="321" t="e">
        <f>IF(N303="поставка Заказчика",N303,K303)</f>
        <v>#REF!</v>
      </c>
      <c r="M303" s="459"/>
      <c r="N303" s="319" t="e">
        <f>IF(ISNA(MATCH(C303,#REF!,0)),"",INDEX(#REF!,MATCH(C303,#REF!,0)))</f>
        <v>#REF!</v>
      </c>
      <c r="O303" s="113" t="e">
        <f>SUMIF(#REF!,C303,#REF!)</f>
        <v>#REF!</v>
      </c>
      <c r="P303" s="113" t="s">
        <v>29</v>
      </c>
    </row>
    <row r="304" spans="1:16" s="34" customFormat="1" ht="26" x14ac:dyDescent="0.25">
      <c r="A304" s="56"/>
      <c r="B304" s="134"/>
      <c r="C304" s="201" t="s">
        <v>1478</v>
      </c>
      <c r="D304" s="188" t="s">
        <v>829</v>
      </c>
      <c r="E304" s="183" t="s">
        <v>720</v>
      </c>
      <c r="F304" s="316">
        <v>7.3250000000000002</v>
      </c>
      <c r="G304" s="207">
        <f>K304/F304</f>
        <v>238.73856655290098</v>
      </c>
      <c r="H304" s="243">
        <f>174+22+40</f>
        <v>236</v>
      </c>
      <c r="I304" s="354"/>
      <c r="J304" s="354"/>
      <c r="K304" s="186">
        <f>H304*$C$4*$C$5</f>
        <v>1748.7599999999998</v>
      </c>
      <c r="L304" s="321" t="e">
        <f>IF(N304="поставка Заказчика",N304,K304)</f>
        <v>#REF!</v>
      </c>
      <c r="M304" s="459"/>
      <c r="N304" s="123" t="e">
        <f>IF(ISNA(MATCH(C304,#REF!,0)),"",INDEX(#REF!,MATCH(C304,#REF!,0)))</f>
        <v>#REF!</v>
      </c>
      <c r="O304" s="124" t="e">
        <f>SUMIF(#REF!,C304,#REF!)</f>
        <v>#REF!</v>
      </c>
      <c r="P304" s="124" t="s">
        <v>29</v>
      </c>
    </row>
    <row r="305" spans="1:16" s="34" customFormat="1" ht="26" x14ac:dyDescent="0.25">
      <c r="A305" s="56"/>
      <c r="B305" s="134"/>
      <c r="C305" s="201" t="s">
        <v>1479</v>
      </c>
      <c r="D305" s="182" t="s">
        <v>832</v>
      </c>
      <c r="E305" s="183" t="s">
        <v>977</v>
      </c>
      <c r="F305" s="316">
        <v>7.3249999999999996E-2</v>
      </c>
      <c r="G305" s="207">
        <f>K305/F305</f>
        <v>2832.4914675767918</v>
      </c>
      <c r="H305" s="243">
        <v>28</v>
      </c>
      <c r="I305" s="354"/>
      <c r="J305" s="354"/>
      <c r="K305" s="186">
        <f>H305*$C$4*$C$5</f>
        <v>207.48</v>
      </c>
      <c r="L305" s="321" t="e">
        <f>IF(N305="поставка Заказчика",N305,K305)</f>
        <v>#REF!</v>
      </c>
      <c r="M305" s="459"/>
      <c r="N305" s="123" t="e">
        <f>IF(ISNA(MATCH(C305,#REF!,0)),"",INDEX(#REF!,MATCH(C305,#REF!,0)))</f>
        <v>#REF!</v>
      </c>
      <c r="O305" s="124" t="e">
        <f>SUMIF(#REF!,C305,#REF!)</f>
        <v>#REF!</v>
      </c>
      <c r="P305" s="124" t="s">
        <v>29</v>
      </c>
    </row>
    <row r="306" spans="1:16" s="34" customFormat="1" ht="26" x14ac:dyDescent="0.25">
      <c r="A306" s="56"/>
      <c r="B306" s="134"/>
      <c r="C306" s="201" t="s">
        <v>1480</v>
      </c>
      <c r="D306" s="182" t="s">
        <v>833</v>
      </c>
      <c r="E306" s="183" t="s">
        <v>977</v>
      </c>
      <c r="F306" s="316">
        <v>7.3249999999999996E-2</v>
      </c>
      <c r="G306" s="207">
        <f>K306/F306</f>
        <v>10419.52218430034</v>
      </c>
      <c r="H306" s="243">
        <v>103</v>
      </c>
      <c r="I306" s="354"/>
      <c r="J306" s="354"/>
      <c r="K306" s="186">
        <f>H306*$C$4*$C$5</f>
        <v>763.2299999999999</v>
      </c>
      <c r="L306" s="321" t="e">
        <f>IF(N306="поставка Заказчика",N306,K306)</f>
        <v>#REF!</v>
      </c>
      <c r="M306" s="459"/>
      <c r="N306" s="123" t="e">
        <f>IF(ISNA(MATCH(C306,#REF!,0)),"",INDEX(#REF!,MATCH(C306,#REF!,0)))</f>
        <v>#REF!</v>
      </c>
      <c r="O306" s="124" t="e">
        <f>SUMIF(#REF!,C306,#REF!)</f>
        <v>#REF!</v>
      </c>
      <c r="P306" s="124" t="s">
        <v>29</v>
      </c>
    </row>
    <row r="307" spans="1:16" s="34" customFormat="1" ht="15.5" x14ac:dyDescent="0.25">
      <c r="A307" s="56"/>
      <c r="B307" s="148"/>
      <c r="C307" s="216" t="s">
        <v>1481</v>
      </c>
      <c r="D307" s="232" t="s">
        <v>1120</v>
      </c>
      <c r="E307" s="250"/>
      <c r="F307" s="251"/>
      <c r="G307" s="235"/>
      <c r="H307" s="301">
        <f>SUM(H308:H310)</f>
        <v>12044</v>
      </c>
      <c r="I307" s="343"/>
      <c r="J307" s="343"/>
      <c r="K307" s="236">
        <f>SUM(K308:K310)</f>
        <v>89246.039999999979</v>
      </c>
      <c r="L307" s="236" t="e">
        <f>SUM(L308:L310)</f>
        <v>#REF!</v>
      </c>
      <c r="M307" s="459"/>
      <c r="N307" s="149" t="e">
        <f>IF(ISNA(MATCH(C307,#REF!,0)),"",INDEX(#REF!,MATCH(C307,#REF!,0)))</f>
        <v>#REF!</v>
      </c>
      <c r="O307" s="150" t="e">
        <f>SUMIF(#REF!,C307,#REF!)</f>
        <v>#REF!</v>
      </c>
      <c r="P307" s="150" t="s">
        <v>29</v>
      </c>
    </row>
    <row r="308" spans="1:16" s="34" customFormat="1" ht="26" x14ac:dyDescent="0.25">
      <c r="A308" s="56"/>
      <c r="B308" s="134"/>
      <c r="C308" s="201" t="s">
        <v>1482</v>
      </c>
      <c r="D308" s="58" t="s">
        <v>1121</v>
      </c>
      <c r="E308" s="190" t="s">
        <v>977</v>
      </c>
      <c r="F308" s="316">
        <v>0.14000000000000001</v>
      </c>
      <c r="G308" s="207">
        <f>K308/F308</f>
        <v>121576.92857142857</v>
      </c>
      <c r="H308" s="187">
        <f>221+583+1421+54+18</f>
        <v>2297</v>
      </c>
      <c r="I308" s="244"/>
      <c r="J308" s="244"/>
      <c r="K308" s="186">
        <f>H308*$C$4*$C$5</f>
        <v>17020.77</v>
      </c>
      <c r="L308" s="321" t="e">
        <f>IF(N308="поставка Заказчика",N308,K308)</f>
        <v>#REF!</v>
      </c>
      <c r="M308" s="459"/>
      <c r="N308" s="319" t="e">
        <f>IF(ISNA(MATCH(C308,#REF!,0)),"",INDEX(#REF!,MATCH(C308,#REF!,0)))</f>
        <v>#REF!</v>
      </c>
      <c r="O308" s="113" t="e">
        <f>SUMIF(#REF!,C308,#REF!)</f>
        <v>#REF!</v>
      </c>
      <c r="P308" s="113" t="s">
        <v>29</v>
      </c>
    </row>
    <row r="309" spans="1:16" s="34" customFormat="1" ht="26" x14ac:dyDescent="0.25">
      <c r="A309" s="56"/>
      <c r="B309" s="134"/>
      <c r="C309" s="201" t="s">
        <v>1483</v>
      </c>
      <c r="D309" s="188" t="s">
        <v>829</v>
      </c>
      <c r="E309" s="231" t="s">
        <v>720</v>
      </c>
      <c r="F309" s="316">
        <v>194.887</v>
      </c>
      <c r="G309" s="207">
        <f>K309/F309</f>
        <v>265.50785839999583</v>
      </c>
      <c r="H309" s="243">
        <f>4602+568+1056+757</f>
        <v>6983</v>
      </c>
      <c r="I309" s="354"/>
      <c r="J309" s="354"/>
      <c r="K309" s="186">
        <f>H309*$C$4*$C$5</f>
        <v>51744.029999999992</v>
      </c>
      <c r="L309" s="321" t="e">
        <f>IF(N309="поставка Заказчика",N309,K309)</f>
        <v>#REF!</v>
      </c>
      <c r="M309" s="459"/>
      <c r="N309" s="123" t="e">
        <f>IF(ISNA(MATCH(C309,#REF!,0)),"",INDEX(#REF!,MATCH(C309,#REF!,0)))</f>
        <v>#REF!</v>
      </c>
      <c r="O309" s="124" t="e">
        <f>SUMIF(#REF!,C309,#REF!)</f>
        <v>#REF!</v>
      </c>
      <c r="P309" s="124" t="s">
        <v>29</v>
      </c>
    </row>
    <row r="310" spans="1:16" s="34" customFormat="1" ht="26" x14ac:dyDescent="0.25">
      <c r="A310" s="56"/>
      <c r="B310" s="134"/>
      <c r="C310" s="201" t="s">
        <v>1484</v>
      </c>
      <c r="D310" s="182" t="s">
        <v>833</v>
      </c>
      <c r="E310" s="183" t="s">
        <v>977</v>
      </c>
      <c r="F310" s="316">
        <v>1.9490000000000001</v>
      </c>
      <c r="G310" s="207">
        <f>K310/F310</f>
        <v>10508.58902001026</v>
      </c>
      <c r="H310" s="243">
        <v>2764</v>
      </c>
      <c r="I310" s="354"/>
      <c r="J310" s="354"/>
      <c r="K310" s="186">
        <f>H310*$C$4*$C$5</f>
        <v>20481.239999999998</v>
      </c>
      <c r="L310" s="321" t="e">
        <f>IF(N310="поставка Заказчика",N310,K310)</f>
        <v>#REF!</v>
      </c>
      <c r="M310" s="459"/>
      <c r="N310" s="123" t="e">
        <f>IF(ISNA(MATCH(C310,#REF!,0)),"",INDEX(#REF!,MATCH(C310,#REF!,0)))</f>
        <v>#REF!</v>
      </c>
      <c r="O310" s="124" t="e">
        <f>SUMIF(#REF!,C310,#REF!)</f>
        <v>#REF!</v>
      </c>
      <c r="P310" s="124" t="s">
        <v>29</v>
      </c>
    </row>
    <row r="311" spans="1:16" s="37" customFormat="1" ht="26" x14ac:dyDescent="0.25">
      <c r="A311" s="65"/>
      <c r="B311" s="128" t="s">
        <v>1123</v>
      </c>
      <c r="C311" s="252" t="s">
        <v>1485</v>
      </c>
      <c r="D311" s="60" t="s">
        <v>1122</v>
      </c>
      <c r="E311" s="214"/>
      <c r="F311" s="215"/>
      <c r="G311" s="211"/>
      <c r="H311" s="304">
        <f>H312+H328+H344+H360</f>
        <v>138557</v>
      </c>
      <c r="I311" s="347"/>
      <c r="J311" s="347"/>
      <c r="K311" s="205">
        <f>K312+K328+K344+K360</f>
        <v>1026707.3699999999</v>
      </c>
      <c r="L311" s="205" t="e">
        <f>L312+L328+L344+L360</f>
        <v>#REF!</v>
      </c>
      <c r="M311" s="459" t="s">
        <v>1164</v>
      </c>
      <c r="N311" s="136" t="e">
        <f>IF(ISNA(MATCH(C311,#REF!,0)),"",INDEX(#REF!,MATCH(C311,#REF!,0)))</f>
        <v>#REF!</v>
      </c>
      <c r="O311" s="137" t="e">
        <f>SUMIF(#REF!,C311,#REF!)</f>
        <v>#REF!</v>
      </c>
      <c r="P311" s="130" t="s">
        <v>30</v>
      </c>
    </row>
    <row r="312" spans="1:16" x14ac:dyDescent="0.3">
      <c r="B312" s="148"/>
      <c r="C312" s="216" t="s">
        <v>1486</v>
      </c>
      <c r="D312" s="232" t="s">
        <v>1124</v>
      </c>
      <c r="E312" s="250"/>
      <c r="F312" s="251"/>
      <c r="G312" s="235"/>
      <c r="H312" s="301">
        <f>SUM(H313:H327)</f>
        <v>71844</v>
      </c>
      <c r="I312" s="343"/>
      <c r="J312" s="343"/>
      <c r="K312" s="236">
        <f>SUM(K313:K327)</f>
        <v>532364.04</v>
      </c>
      <c r="L312" s="236" t="e">
        <f>SUM(L313:L327)</f>
        <v>#REF!</v>
      </c>
      <c r="M312" s="450"/>
      <c r="N312" s="149" t="e">
        <f>IF(ISNA(MATCH(C312,#REF!,0)),"",INDEX(#REF!,MATCH(C312,#REF!,0)))</f>
        <v>#REF!</v>
      </c>
      <c r="O312" s="150" t="e">
        <f>SUMIF(#REF!,C312,#REF!)</f>
        <v>#REF!</v>
      </c>
      <c r="P312" s="150" t="s">
        <v>30</v>
      </c>
    </row>
    <row r="313" spans="1:16" s="34" customFormat="1" ht="52" x14ac:dyDescent="0.25">
      <c r="A313" s="56"/>
      <c r="B313" s="134"/>
      <c r="C313" s="201" t="s">
        <v>1487</v>
      </c>
      <c r="D313" s="58" t="s">
        <v>1125</v>
      </c>
      <c r="E313" s="200" t="s">
        <v>969</v>
      </c>
      <c r="F313" s="316">
        <v>2.456</v>
      </c>
      <c r="G313" s="207">
        <f t="shared" ref="G313:G327" si="51">K313/F313</f>
        <v>21873.982084690553</v>
      </c>
      <c r="H313" s="187">
        <f>4368+2884-2</f>
        <v>7250</v>
      </c>
      <c r="I313" s="244"/>
      <c r="J313" s="244"/>
      <c r="K313" s="186">
        <f t="shared" ref="K313:K327" si="52">H313*$C$4*$C$5</f>
        <v>53722.5</v>
      </c>
      <c r="L313" s="321" t="e">
        <f t="shared" ref="L313:L327" si="53">IF(N313="поставка Заказчика",N313,K313)</f>
        <v>#REF!</v>
      </c>
      <c r="M313" s="459"/>
      <c r="N313" s="131" t="e">
        <f>IF(ISNA(MATCH(C313,#REF!,0)),"",INDEX(#REF!,MATCH(C313,#REF!,0)))</f>
        <v>#REF!</v>
      </c>
      <c r="O313" s="114" t="e">
        <f>SUMIF(#REF!,C313,#REF!)</f>
        <v>#REF!</v>
      </c>
      <c r="P313" s="114" t="s">
        <v>30</v>
      </c>
    </row>
    <row r="314" spans="1:16" s="34" customFormat="1" ht="26" x14ac:dyDescent="0.25">
      <c r="A314" s="56"/>
      <c r="B314" s="134"/>
      <c r="C314" s="201" t="s">
        <v>1488</v>
      </c>
      <c r="D314" s="58" t="s">
        <v>1104</v>
      </c>
      <c r="E314" s="200" t="s">
        <v>971</v>
      </c>
      <c r="F314" s="316">
        <v>75.447000000000003</v>
      </c>
      <c r="G314" s="207">
        <f t="shared" si="51"/>
        <v>1581.7467891367448</v>
      </c>
      <c r="H314" s="191">
        <v>16105</v>
      </c>
      <c r="I314" s="346"/>
      <c r="J314" s="346"/>
      <c r="K314" s="186">
        <f t="shared" si="52"/>
        <v>119338.04999999999</v>
      </c>
      <c r="L314" s="321" t="e">
        <f t="shared" si="53"/>
        <v>#REF!</v>
      </c>
      <c r="M314" s="459"/>
      <c r="N314" s="131" t="e">
        <f>IF(ISNA(MATCH(C314,#REF!,0)),"",INDEX(#REF!,MATCH(C314,#REF!,0)))</f>
        <v>#REF!</v>
      </c>
      <c r="O314" s="114" t="e">
        <f>SUMIF(#REF!,C314,#REF!)</f>
        <v>#REF!</v>
      </c>
      <c r="P314" s="114" t="s">
        <v>30</v>
      </c>
    </row>
    <row r="315" spans="1:16" s="34" customFormat="1" ht="52" x14ac:dyDescent="0.25">
      <c r="A315" s="56"/>
      <c r="B315" s="134"/>
      <c r="C315" s="201" t="s">
        <v>1489</v>
      </c>
      <c r="D315" s="58" t="s">
        <v>1105</v>
      </c>
      <c r="E315" s="200" t="s">
        <v>969</v>
      </c>
      <c r="F315" s="316">
        <v>9.4E-2</v>
      </c>
      <c r="G315" s="207">
        <f t="shared" si="51"/>
        <v>169011.06382978722</v>
      </c>
      <c r="H315" s="187">
        <f>145+833+1166</f>
        <v>2144</v>
      </c>
      <c r="I315" s="244"/>
      <c r="J315" s="244"/>
      <c r="K315" s="186">
        <f t="shared" si="52"/>
        <v>15887.039999999999</v>
      </c>
      <c r="L315" s="321" t="e">
        <f t="shared" si="53"/>
        <v>#REF!</v>
      </c>
      <c r="M315" s="459"/>
      <c r="N315" s="131" t="e">
        <f>IF(ISNA(MATCH(C315,#REF!,0)),"",INDEX(#REF!,MATCH(C315,#REF!,0)))</f>
        <v>#REF!</v>
      </c>
      <c r="O315" s="114" t="e">
        <f>SUMIF(#REF!,C315,#REF!)</f>
        <v>#REF!</v>
      </c>
      <c r="P315" s="114" t="s">
        <v>30</v>
      </c>
    </row>
    <row r="316" spans="1:16" s="34" customFormat="1" ht="52" x14ac:dyDescent="0.25">
      <c r="A316" s="56"/>
      <c r="B316" s="134"/>
      <c r="C316" s="201" t="s">
        <v>1490</v>
      </c>
      <c r="D316" s="58" t="s">
        <v>211</v>
      </c>
      <c r="E316" s="200" t="s">
        <v>826</v>
      </c>
      <c r="F316" s="316">
        <v>1.512E-2</v>
      </c>
      <c r="G316" s="207">
        <f t="shared" si="51"/>
        <v>1290378.9682539683</v>
      </c>
      <c r="H316" s="187">
        <f>933+647+482+526+45</f>
        <v>2633</v>
      </c>
      <c r="I316" s="244"/>
      <c r="J316" s="244"/>
      <c r="K316" s="186">
        <f t="shared" si="52"/>
        <v>19510.53</v>
      </c>
      <c r="L316" s="321" t="e">
        <f t="shared" si="53"/>
        <v>#REF!</v>
      </c>
      <c r="M316" s="459"/>
      <c r="N316" s="131" t="e">
        <f>IF(ISNA(MATCH(C316,#REF!,0)),"",INDEX(#REF!,MATCH(C316,#REF!,0)))</f>
        <v>#REF!</v>
      </c>
      <c r="O316" s="114" t="e">
        <f>SUMIF(#REF!,C316,#REF!)</f>
        <v>#REF!</v>
      </c>
      <c r="P316" s="114" t="s">
        <v>30</v>
      </c>
    </row>
    <row r="317" spans="1:16" s="34" customFormat="1" ht="26" x14ac:dyDescent="0.25">
      <c r="A317" s="56"/>
      <c r="B317" s="134"/>
      <c r="C317" s="201" t="s">
        <v>1491</v>
      </c>
      <c r="D317" s="58" t="s">
        <v>225</v>
      </c>
      <c r="E317" s="190" t="s">
        <v>969</v>
      </c>
      <c r="F317" s="316">
        <v>2.9000000000000001E-2</v>
      </c>
      <c r="G317" s="207">
        <f t="shared" si="51"/>
        <v>140278.96551724133</v>
      </c>
      <c r="H317" s="187">
        <f>20+121+88+11+155+14+66+21+30+23</f>
        <v>549</v>
      </c>
      <c r="I317" s="244"/>
      <c r="J317" s="244"/>
      <c r="K317" s="186">
        <f t="shared" si="52"/>
        <v>4068.0899999999992</v>
      </c>
      <c r="L317" s="321" t="e">
        <f t="shared" si="53"/>
        <v>#REF!</v>
      </c>
      <c r="M317" s="459"/>
      <c r="N317" s="319" t="e">
        <f>IF(ISNA(MATCH(C317,#REF!,0)),"",INDEX(#REF!,MATCH(C317,#REF!,0)))</f>
        <v>#REF!</v>
      </c>
      <c r="O317" s="113" t="e">
        <f>SUMIF(#REF!,C317,#REF!)</f>
        <v>#REF!</v>
      </c>
      <c r="P317" s="113" t="s">
        <v>30</v>
      </c>
    </row>
    <row r="318" spans="1:16" s="34" customFormat="1" ht="26" x14ac:dyDescent="0.25">
      <c r="A318" s="56"/>
      <c r="B318" s="134"/>
      <c r="C318" s="201" t="s">
        <v>1492</v>
      </c>
      <c r="D318" s="188" t="s">
        <v>829</v>
      </c>
      <c r="E318" s="183" t="s">
        <v>720</v>
      </c>
      <c r="F318" s="316">
        <v>38.171999999999997</v>
      </c>
      <c r="G318" s="207">
        <f t="shared" si="51"/>
        <v>236.82804149638477</v>
      </c>
      <c r="H318" s="243">
        <f>902+112+206</f>
        <v>1220</v>
      </c>
      <c r="I318" s="354"/>
      <c r="J318" s="354"/>
      <c r="K318" s="186">
        <f t="shared" si="52"/>
        <v>9040.1999999999989</v>
      </c>
      <c r="L318" s="321" t="e">
        <f t="shared" si="53"/>
        <v>#REF!</v>
      </c>
      <c r="M318" s="459"/>
      <c r="N318" s="123" t="e">
        <f>IF(ISNA(MATCH(C318,#REF!,0)),"",INDEX(#REF!,MATCH(C318,#REF!,0)))</f>
        <v>#REF!</v>
      </c>
      <c r="O318" s="124" t="e">
        <f>SUMIF(#REF!,C318,#REF!)</f>
        <v>#REF!</v>
      </c>
      <c r="P318" s="124" t="s">
        <v>30</v>
      </c>
    </row>
    <row r="319" spans="1:16" s="34" customFormat="1" ht="26" x14ac:dyDescent="0.25">
      <c r="A319" s="56"/>
      <c r="B319" s="134"/>
      <c r="C319" s="201" t="s">
        <v>1493</v>
      </c>
      <c r="D319" s="228" t="s">
        <v>212</v>
      </c>
      <c r="E319" s="183" t="s">
        <v>977</v>
      </c>
      <c r="F319" s="316">
        <v>0.38172</v>
      </c>
      <c r="G319" s="207">
        <f t="shared" si="51"/>
        <v>3338.8871424080476</v>
      </c>
      <c r="H319" s="243">
        <f>153+19</f>
        <v>172</v>
      </c>
      <c r="I319" s="354"/>
      <c r="J319" s="354"/>
      <c r="K319" s="186">
        <f t="shared" si="52"/>
        <v>1274.52</v>
      </c>
      <c r="L319" s="321" t="e">
        <f t="shared" si="53"/>
        <v>#REF!</v>
      </c>
      <c r="M319" s="459"/>
      <c r="N319" s="123" t="e">
        <f>IF(ISNA(MATCH(C319,#REF!,0)),"",INDEX(#REF!,MATCH(C319,#REF!,0)))</f>
        <v>#REF!</v>
      </c>
      <c r="O319" s="124" t="e">
        <f>SUMIF(#REF!,C319,#REF!)</f>
        <v>#REF!</v>
      </c>
      <c r="P319" s="124" t="s">
        <v>30</v>
      </c>
    </row>
    <row r="320" spans="1:16" s="34" customFormat="1" ht="39" x14ac:dyDescent="0.25">
      <c r="A320" s="56"/>
      <c r="B320" s="134"/>
      <c r="C320" s="201" t="s">
        <v>1494</v>
      </c>
      <c r="D320" s="229" t="s">
        <v>961</v>
      </c>
      <c r="E320" s="230" t="s">
        <v>977</v>
      </c>
      <c r="F320" s="316">
        <v>0.38172</v>
      </c>
      <c r="G320" s="207">
        <f t="shared" si="51"/>
        <v>2970.0565859792518</v>
      </c>
      <c r="H320" s="243">
        <f>39+114</f>
        <v>153</v>
      </c>
      <c r="I320" s="354"/>
      <c r="J320" s="354"/>
      <c r="K320" s="186">
        <f t="shared" si="52"/>
        <v>1133.73</v>
      </c>
      <c r="L320" s="321" t="e">
        <f t="shared" si="53"/>
        <v>#REF!</v>
      </c>
      <c r="M320" s="459"/>
      <c r="N320" s="131" t="e">
        <f>IF(ISNA(MATCH(C320,#REF!,0)),"",INDEX(#REF!,MATCH(C320,#REF!,0)))</f>
        <v>#REF!</v>
      </c>
      <c r="O320" s="114" t="e">
        <f>SUMIF(#REF!,C320,#REF!)</f>
        <v>#REF!</v>
      </c>
      <c r="P320" s="114" t="s">
        <v>30</v>
      </c>
    </row>
    <row r="321" spans="1:16" s="34" customFormat="1" ht="52" x14ac:dyDescent="0.25">
      <c r="A321" s="56"/>
      <c r="B321" s="134"/>
      <c r="C321" s="201" t="s">
        <v>1495</v>
      </c>
      <c r="D321" s="59" t="s">
        <v>1111</v>
      </c>
      <c r="E321" s="230" t="s">
        <v>969</v>
      </c>
      <c r="F321" s="316">
        <v>0.46600000000000003</v>
      </c>
      <c r="G321" s="207">
        <f t="shared" si="51"/>
        <v>87441.180257510714</v>
      </c>
      <c r="H321" s="243">
        <f>317+1942+3240</f>
        <v>5499</v>
      </c>
      <c r="I321" s="354"/>
      <c r="J321" s="354"/>
      <c r="K321" s="186">
        <f t="shared" si="52"/>
        <v>40747.589999999997</v>
      </c>
      <c r="L321" s="321" t="e">
        <f t="shared" si="53"/>
        <v>#REF!</v>
      </c>
      <c r="M321" s="459"/>
      <c r="N321" s="131" t="e">
        <f>IF(ISNA(MATCH(C321,#REF!,0)),"",INDEX(#REF!,MATCH(C321,#REF!,0)))</f>
        <v>#REF!</v>
      </c>
      <c r="O321" s="114" t="e">
        <f>SUMIF(#REF!,C321,#REF!)</f>
        <v>#REF!</v>
      </c>
      <c r="P321" s="114" t="s">
        <v>30</v>
      </c>
    </row>
    <row r="322" spans="1:16" s="34" customFormat="1" ht="52" x14ac:dyDescent="0.25">
      <c r="A322" s="56"/>
      <c r="B322" s="134"/>
      <c r="C322" s="201" t="s">
        <v>1496</v>
      </c>
      <c r="D322" s="58" t="s">
        <v>1112</v>
      </c>
      <c r="E322" s="200" t="s">
        <v>969</v>
      </c>
      <c r="F322" s="316">
        <v>0.435</v>
      </c>
      <c r="G322" s="207">
        <f t="shared" si="51"/>
        <v>126429.93103448275</v>
      </c>
      <c r="H322" s="243">
        <f>420+1813+5189</f>
        <v>7422</v>
      </c>
      <c r="I322" s="354"/>
      <c r="J322" s="354"/>
      <c r="K322" s="186">
        <f t="shared" si="52"/>
        <v>54997.02</v>
      </c>
      <c r="L322" s="321" t="e">
        <f t="shared" si="53"/>
        <v>#REF!</v>
      </c>
      <c r="M322" s="459"/>
      <c r="N322" s="131" t="e">
        <f>IF(ISNA(MATCH(C322,#REF!,0)),"",INDEX(#REF!,MATCH(C322,#REF!,0)))</f>
        <v>#REF!</v>
      </c>
      <c r="O322" s="114" t="e">
        <f>SUMIF(#REF!,C322,#REF!)</f>
        <v>#REF!</v>
      </c>
      <c r="P322" s="114" t="s">
        <v>30</v>
      </c>
    </row>
    <row r="323" spans="1:16" s="34" customFormat="1" ht="39" x14ac:dyDescent="0.25">
      <c r="A323" s="56"/>
      <c r="B323" s="134"/>
      <c r="C323" s="201" t="s">
        <v>1497</v>
      </c>
      <c r="D323" s="58" t="s">
        <v>1126</v>
      </c>
      <c r="E323" s="200" t="s">
        <v>969</v>
      </c>
      <c r="F323" s="316">
        <v>1.1970000000000001</v>
      </c>
      <c r="G323" s="207">
        <f t="shared" si="51"/>
        <v>96905.714285714261</v>
      </c>
      <c r="H323" s="243">
        <f>2323+4734+811+3720+2658+1408</f>
        <v>15654</v>
      </c>
      <c r="I323" s="354"/>
      <c r="J323" s="354"/>
      <c r="K323" s="186">
        <f t="shared" si="52"/>
        <v>115996.13999999998</v>
      </c>
      <c r="L323" s="321" t="e">
        <f t="shared" si="53"/>
        <v>#REF!</v>
      </c>
      <c r="M323" s="459"/>
      <c r="N323" s="131" t="e">
        <f>IF(ISNA(MATCH(C323,#REF!,0)),"",INDEX(#REF!,MATCH(C323,#REF!,0)))</f>
        <v>#REF!</v>
      </c>
      <c r="O323" s="114" t="e">
        <f>SUMIF(#REF!,C323,#REF!)</f>
        <v>#REF!</v>
      </c>
      <c r="P323" s="114" t="s">
        <v>30</v>
      </c>
    </row>
    <row r="324" spans="1:16" s="34" customFormat="1" ht="39" x14ac:dyDescent="0.25">
      <c r="A324" s="56"/>
      <c r="B324" s="134"/>
      <c r="C324" s="201" t="s">
        <v>1498</v>
      </c>
      <c r="D324" s="58" t="s">
        <v>1127</v>
      </c>
      <c r="E324" s="200" t="s">
        <v>969</v>
      </c>
      <c r="F324" s="316">
        <v>0.36799999999999999</v>
      </c>
      <c r="G324" s="207">
        <f t="shared" si="51"/>
        <v>110586.1956521739</v>
      </c>
      <c r="H324" s="243">
        <f>728+1455+2374+105+494+336</f>
        <v>5492</v>
      </c>
      <c r="I324" s="354"/>
      <c r="J324" s="354"/>
      <c r="K324" s="186">
        <f t="shared" si="52"/>
        <v>40695.719999999994</v>
      </c>
      <c r="L324" s="321" t="e">
        <f t="shared" si="53"/>
        <v>#REF!</v>
      </c>
      <c r="M324" s="459"/>
      <c r="N324" s="131" t="e">
        <f>IF(ISNA(MATCH(C324,#REF!,0)),"",INDEX(#REF!,MATCH(C324,#REF!,0)))</f>
        <v>#REF!</v>
      </c>
      <c r="O324" s="114" t="e">
        <f>SUMIF(#REF!,C324,#REF!)</f>
        <v>#REF!</v>
      </c>
      <c r="P324" s="114" t="s">
        <v>30</v>
      </c>
    </row>
    <row r="325" spans="1:16" s="34" customFormat="1" ht="26" x14ac:dyDescent="0.25">
      <c r="A325" s="56"/>
      <c r="B325" s="134"/>
      <c r="C325" s="201" t="s">
        <v>1499</v>
      </c>
      <c r="D325" s="58" t="s">
        <v>829</v>
      </c>
      <c r="E325" s="200" t="s">
        <v>720</v>
      </c>
      <c r="F325" s="316">
        <v>150.99199999999999</v>
      </c>
      <c r="G325" s="207">
        <f t="shared" si="51"/>
        <v>236.69088428526013</v>
      </c>
      <c r="H325" s="243">
        <f>3565+440+818</f>
        <v>4823</v>
      </c>
      <c r="I325" s="354"/>
      <c r="J325" s="354"/>
      <c r="K325" s="186">
        <f t="shared" si="52"/>
        <v>35738.429999999993</v>
      </c>
      <c r="L325" s="321" t="e">
        <f t="shared" si="53"/>
        <v>#REF!</v>
      </c>
      <c r="M325" s="459"/>
      <c r="N325" s="131" t="e">
        <f>IF(ISNA(MATCH(C325,#REF!,0)),"",INDEX(#REF!,MATCH(C325,#REF!,0)))</f>
        <v>#REF!</v>
      </c>
      <c r="O325" s="114" t="e">
        <f>SUMIF(#REF!,C325,#REF!)</f>
        <v>#REF!</v>
      </c>
      <c r="P325" s="114" t="s">
        <v>30</v>
      </c>
    </row>
    <row r="326" spans="1:16" s="34" customFormat="1" ht="26" x14ac:dyDescent="0.25">
      <c r="A326" s="56"/>
      <c r="B326" s="134"/>
      <c r="C326" s="201" t="s">
        <v>1500</v>
      </c>
      <c r="D326" s="182" t="s">
        <v>832</v>
      </c>
      <c r="E326" s="183" t="s">
        <v>977</v>
      </c>
      <c r="F326" s="316">
        <v>1.51</v>
      </c>
      <c r="G326" s="207">
        <f t="shared" si="51"/>
        <v>2880.5761589403974</v>
      </c>
      <c r="H326" s="243">
        <f>587</f>
        <v>587</v>
      </c>
      <c r="I326" s="354"/>
      <c r="J326" s="354"/>
      <c r="K326" s="186">
        <f t="shared" si="52"/>
        <v>4349.67</v>
      </c>
      <c r="L326" s="321" t="e">
        <f t="shared" si="53"/>
        <v>#REF!</v>
      </c>
      <c r="M326" s="459"/>
      <c r="N326" s="123" t="e">
        <f>IF(ISNA(MATCH(C326,#REF!,0)),"",INDEX(#REF!,MATCH(C326,#REF!,0)))</f>
        <v>#REF!</v>
      </c>
      <c r="O326" s="124" t="e">
        <f>SUMIF(#REF!,C326,#REF!)</f>
        <v>#REF!</v>
      </c>
      <c r="P326" s="124" t="s">
        <v>30</v>
      </c>
    </row>
    <row r="327" spans="1:16" s="34" customFormat="1" ht="26" x14ac:dyDescent="0.25">
      <c r="A327" s="56"/>
      <c r="B327" s="134"/>
      <c r="C327" s="201" t="s">
        <v>1501</v>
      </c>
      <c r="D327" s="182" t="s">
        <v>833</v>
      </c>
      <c r="E327" s="183" t="s">
        <v>977</v>
      </c>
      <c r="F327" s="316">
        <v>1.51</v>
      </c>
      <c r="G327" s="207">
        <f t="shared" si="51"/>
        <v>10506.496688741719</v>
      </c>
      <c r="H327" s="243">
        <v>2141</v>
      </c>
      <c r="I327" s="354"/>
      <c r="J327" s="354"/>
      <c r="K327" s="186">
        <f t="shared" si="52"/>
        <v>15864.809999999998</v>
      </c>
      <c r="L327" s="321" t="e">
        <f t="shared" si="53"/>
        <v>#REF!</v>
      </c>
      <c r="M327" s="459"/>
      <c r="N327" s="123" t="e">
        <f>IF(ISNA(MATCH(C327,#REF!,0)),"",INDEX(#REF!,MATCH(C327,#REF!,0)))</f>
        <v>#REF!</v>
      </c>
      <c r="O327" s="124" t="e">
        <f>SUMIF(#REF!,C327,#REF!)</f>
        <v>#REF!</v>
      </c>
      <c r="P327" s="124" t="s">
        <v>30</v>
      </c>
    </row>
    <row r="328" spans="1:16" s="34" customFormat="1" ht="26" x14ac:dyDescent="0.25">
      <c r="A328" s="56"/>
      <c r="B328" s="148"/>
      <c r="C328" s="216" t="s">
        <v>1502</v>
      </c>
      <c r="D328" s="232" t="s">
        <v>1128</v>
      </c>
      <c r="E328" s="250"/>
      <c r="F328" s="251"/>
      <c r="G328" s="235"/>
      <c r="H328" s="301">
        <f>SUM(H329:H343)</f>
        <v>24630</v>
      </c>
      <c r="I328" s="343"/>
      <c r="J328" s="343"/>
      <c r="K328" s="236">
        <f>SUM(K329:K343)</f>
        <v>182508.29999999996</v>
      </c>
      <c r="L328" s="236" t="e">
        <f>SUM(L329:L343)</f>
        <v>#REF!</v>
      </c>
      <c r="M328" s="459"/>
      <c r="N328" s="149" t="e">
        <f>IF(ISNA(MATCH(C328,#REF!,0)),"",INDEX(#REF!,MATCH(C328,#REF!,0)))</f>
        <v>#REF!</v>
      </c>
      <c r="O328" s="150" t="e">
        <f>SUMIF(#REF!,C328,#REF!)</f>
        <v>#REF!</v>
      </c>
      <c r="P328" s="150" t="s">
        <v>30</v>
      </c>
    </row>
    <row r="329" spans="1:16" s="34" customFormat="1" ht="39" x14ac:dyDescent="0.25">
      <c r="A329" s="56"/>
      <c r="B329" s="134"/>
      <c r="C329" s="201" t="s">
        <v>1503</v>
      </c>
      <c r="D329" s="58" t="s">
        <v>1129</v>
      </c>
      <c r="E329" s="200" t="s">
        <v>969</v>
      </c>
      <c r="F329" s="316">
        <v>0.63300000000000001</v>
      </c>
      <c r="G329" s="207">
        <f t="shared" ref="G329:G343" si="54">K329/F329</f>
        <v>33596.682464454971</v>
      </c>
      <c r="H329" s="187">
        <f>1126+1742+2</f>
        <v>2870</v>
      </c>
      <c r="I329" s="244"/>
      <c r="J329" s="244"/>
      <c r="K329" s="186">
        <f t="shared" ref="K329:K343" si="55">H329*$C$4*$C$5</f>
        <v>21266.699999999997</v>
      </c>
      <c r="L329" s="321" t="e">
        <f t="shared" ref="L329:L343" si="56">IF(N329="поставка Заказчика",N329,K329)</f>
        <v>#REF!</v>
      </c>
      <c r="M329" s="459"/>
      <c r="N329" s="131" t="e">
        <f>IF(ISNA(MATCH(C329,#REF!,0)),"",INDEX(#REF!,MATCH(C329,#REF!,0)))</f>
        <v>#REF!</v>
      </c>
      <c r="O329" s="114" t="e">
        <f>SUMIF(#REF!,C329,#REF!)</f>
        <v>#REF!</v>
      </c>
      <c r="P329" s="114" t="s">
        <v>30</v>
      </c>
    </row>
    <row r="330" spans="1:16" s="34" customFormat="1" ht="26" x14ac:dyDescent="0.25">
      <c r="A330" s="56"/>
      <c r="B330" s="134"/>
      <c r="C330" s="201" t="s">
        <v>1504</v>
      </c>
      <c r="D330" s="58" t="s">
        <v>1104</v>
      </c>
      <c r="E330" s="200" t="s">
        <v>971</v>
      </c>
      <c r="F330" s="316">
        <v>16.765999999999998</v>
      </c>
      <c r="G330" s="207">
        <f t="shared" si="54"/>
        <v>1581.7958964571155</v>
      </c>
      <c r="H330" s="191">
        <v>3579</v>
      </c>
      <c r="I330" s="346"/>
      <c r="J330" s="346"/>
      <c r="K330" s="186">
        <f t="shared" si="55"/>
        <v>26520.389999999996</v>
      </c>
      <c r="L330" s="321" t="e">
        <f t="shared" si="56"/>
        <v>#REF!</v>
      </c>
      <c r="M330" s="459"/>
      <c r="N330" s="131" t="e">
        <f>IF(ISNA(MATCH(C330,#REF!,0)),"",INDEX(#REF!,MATCH(C330,#REF!,0)))</f>
        <v>#REF!</v>
      </c>
      <c r="O330" s="114" t="e">
        <f>SUMIF(#REF!,C330,#REF!)</f>
        <v>#REF!</v>
      </c>
      <c r="P330" s="114" t="s">
        <v>30</v>
      </c>
    </row>
    <row r="331" spans="1:16" s="34" customFormat="1" ht="52" x14ac:dyDescent="0.25">
      <c r="A331" s="56"/>
      <c r="B331" s="134"/>
      <c r="C331" s="201" t="s">
        <v>1505</v>
      </c>
      <c r="D331" s="58" t="s">
        <v>1130</v>
      </c>
      <c r="E331" s="200" t="s">
        <v>969</v>
      </c>
      <c r="F331" s="316">
        <v>4.2000000000000003E-2</v>
      </c>
      <c r="G331" s="207">
        <f t="shared" si="54"/>
        <v>169018.57142857139</v>
      </c>
      <c r="H331" s="187">
        <f>64+373+521</f>
        <v>958</v>
      </c>
      <c r="I331" s="244"/>
      <c r="J331" s="244"/>
      <c r="K331" s="186">
        <f t="shared" si="55"/>
        <v>7098.7799999999988</v>
      </c>
      <c r="L331" s="321" t="e">
        <f t="shared" si="56"/>
        <v>#REF!</v>
      </c>
      <c r="M331" s="459"/>
      <c r="N331" s="131" t="e">
        <f>IF(ISNA(MATCH(C331,#REF!,0)),"",INDEX(#REF!,MATCH(C331,#REF!,0)))</f>
        <v>#REF!</v>
      </c>
      <c r="O331" s="114" t="e">
        <f>SUMIF(#REF!,C331,#REF!)</f>
        <v>#REF!</v>
      </c>
      <c r="P331" s="114" t="s">
        <v>30</v>
      </c>
    </row>
    <row r="332" spans="1:16" s="34" customFormat="1" ht="52" x14ac:dyDescent="0.25">
      <c r="A332" s="56"/>
      <c r="B332" s="134"/>
      <c r="C332" s="201" t="s">
        <v>1506</v>
      </c>
      <c r="D332" s="58" t="s">
        <v>211</v>
      </c>
      <c r="E332" s="200" t="s">
        <v>826</v>
      </c>
      <c r="F332" s="316">
        <v>3.3600000000000001E-3</v>
      </c>
      <c r="G332" s="207">
        <f t="shared" si="54"/>
        <v>1468767.857142857</v>
      </c>
      <c r="H332" s="187">
        <f>207+144+107+117+91</f>
        <v>666</v>
      </c>
      <c r="I332" s="244"/>
      <c r="J332" s="244"/>
      <c r="K332" s="186">
        <f t="shared" si="55"/>
        <v>4935.0599999999995</v>
      </c>
      <c r="L332" s="321" t="e">
        <f t="shared" si="56"/>
        <v>#REF!</v>
      </c>
      <c r="M332" s="459"/>
      <c r="N332" s="131" t="e">
        <f>IF(ISNA(MATCH(C332,#REF!,0)),"",INDEX(#REF!,MATCH(C332,#REF!,0)))</f>
        <v>#REF!</v>
      </c>
      <c r="O332" s="114" t="e">
        <f>SUMIF(#REF!,C332,#REF!)</f>
        <v>#REF!</v>
      </c>
      <c r="P332" s="114" t="s">
        <v>30</v>
      </c>
    </row>
    <row r="333" spans="1:16" s="34" customFormat="1" ht="26" x14ac:dyDescent="0.25">
      <c r="A333" s="56"/>
      <c r="B333" s="134"/>
      <c r="C333" s="201" t="s">
        <v>1507</v>
      </c>
      <c r="D333" s="217" t="s">
        <v>225</v>
      </c>
      <c r="E333" s="189" t="s">
        <v>969</v>
      </c>
      <c r="F333" s="316">
        <v>6.6000000000000003E-2</v>
      </c>
      <c r="G333" s="207">
        <f t="shared" si="54"/>
        <v>137309.54545454541</v>
      </c>
      <c r="H333" s="187">
        <f>44+274+176+22+406+26+130+40+60+45</f>
        <v>1223</v>
      </c>
      <c r="I333" s="244"/>
      <c r="J333" s="244"/>
      <c r="K333" s="186">
        <f t="shared" si="55"/>
        <v>9062.4299999999985</v>
      </c>
      <c r="L333" s="321" t="e">
        <f t="shared" si="56"/>
        <v>#REF!</v>
      </c>
      <c r="M333" s="459"/>
      <c r="N333" s="319" t="e">
        <f>IF(ISNA(MATCH(C333,#REF!,0)),"",INDEX(#REF!,MATCH(C333,#REF!,0)))</f>
        <v>#REF!</v>
      </c>
      <c r="O333" s="113" t="e">
        <f>SUMIF(#REF!,C333,#REF!)</f>
        <v>#REF!</v>
      </c>
      <c r="P333" s="113" t="s">
        <v>30</v>
      </c>
    </row>
    <row r="334" spans="1:16" s="34" customFormat="1" ht="26" x14ac:dyDescent="0.25">
      <c r="A334" s="56"/>
      <c r="B334" s="134"/>
      <c r="C334" s="201" t="s">
        <v>1508</v>
      </c>
      <c r="D334" s="188" t="s">
        <v>829</v>
      </c>
      <c r="E334" s="183" t="s">
        <v>720</v>
      </c>
      <c r="F334" s="316">
        <v>10.324999999999999</v>
      </c>
      <c r="G334" s="207">
        <f t="shared" si="54"/>
        <v>236.1152542372881</v>
      </c>
      <c r="H334" s="243">
        <f>244+29+56</f>
        <v>329</v>
      </c>
      <c r="I334" s="354"/>
      <c r="J334" s="354"/>
      <c r="K334" s="186">
        <f t="shared" si="55"/>
        <v>2437.8899999999994</v>
      </c>
      <c r="L334" s="321" t="e">
        <f t="shared" si="56"/>
        <v>#REF!</v>
      </c>
      <c r="M334" s="459"/>
      <c r="N334" s="123" t="e">
        <f>IF(ISNA(MATCH(C334,#REF!,0)),"",INDEX(#REF!,MATCH(C334,#REF!,0)))</f>
        <v>#REF!</v>
      </c>
      <c r="O334" s="124" t="e">
        <f>SUMIF(#REF!,C334,#REF!)</f>
        <v>#REF!</v>
      </c>
      <c r="P334" s="124" t="s">
        <v>30</v>
      </c>
    </row>
    <row r="335" spans="1:16" s="34" customFormat="1" ht="26" x14ac:dyDescent="0.25">
      <c r="A335" s="56"/>
      <c r="B335" s="134"/>
      <c r="C335" s="201" t="s">
        <v>1509</v>
      </c>
      <c r="D335" s="228" t="s">
        <v>212</v>
      </c>
      <c r="E335" s="183" t="s">
        <v>977</v>
      </c>
      <c r="F335" s="316">
        <v>0.10324999999999999</v>
      </c>
      <c r="G335" s="207">
        <f t="shared" si="54"/>
        <v>3229.53995157385</v>
      </c>
      <c r="H335" s="243">
        <f>41+4</f>
        <v>45</v>
      </c>
      <c r="I335" s="354"/>
      <c r="J335" s="354"/>
      <c r="K335" s="186">
        <f t="shared" si="55"/>
        <v>333.45</v>
      </c>
      <c r="L335" s="321" t="e">
        <f t="shared" si="56"/>
        <v>#REF!</v>
      </c>
      <c r="M335" s="459"/>
      <c r="N335" s="123" t="e">
        <f>IF(ISNA(MATCH(C335,#REF!,0)),"",INDEX(#REF!,MATCH(C335,#REF!,0)))</f>
        <v>#REF!</v>
      </c>
      <c r="O335" s="124" t="e">
        <f>SUMIF(#REF!,C335,#REF!)</f>
        <v>#REF!</v>
      </c>
      <c r="P335" s="124" t="s">
        <v>30</v>
      </c>
    </row>
    <row r="336" spans="1:16" s="34" customFormat="1" ht="39" x14ac:dyDescent="0.25">
      <c r="A336" s="56"/>
      <c r="B336" s="134"/>
      <c r="C336" s="201" t="s">
        <v>1510</v>
      </c>
      <c r="D336" s="229" t="s">
        <v>961</v>
      </c>
      <c r="E336" s="230" t="s">
        <v>977</v>
      </c>
      <c r="F336" s="316">
        <v>0.10324999999999999</v>
      </c>
      <c r="G336" s="207">
        <f t="shared" si="54"/>
        <v>3444.8426150121068</v>
      </c>
      <c r="H336" s="243">
        <f>10+38</f>
        <v>48</v>
      </c>
      <c r="I336" s="354"/>
      <c r="J336" s="354"/>
      <c r="K336" s="186">
        <f t="shared" si="55"/>
        <v>355.68</v>
      </c>
      <c r="L336" s="321" t="e">
        <f t="shared" si="56"/>
        <v>#REF!</v>
      </c>
      <c r="M336" s="459"/>
      <c r="N336" s="131" t="e">
        <f>IF(ISNA(MATCH(C336,#REF!,0)),"",INDEX(#REF!,MATCH(C336,#REF!,0)))</f>
        <v>#REF!</v>
      </c>
      <c r="O336" s="114" t="e">
        <f>SUMIF(#REF!,C336,#REF!)</f>
        <v>#REF!</v>
      </c>
      <c r="P336" s="114" t="s">
        <v>30</v>
      </c>
    </row>
    <row r="337" spans="1:16" s="34" customFormat="1" ht="52" x14ac:dyDescent="0.25">
      <c r="A337" s="56"/>
      <c r="B337" s="134"/>
      <c r="C337" s="201" t="s">
        <v>1511</v>
      </c>
      <c r="D337" s="59" t="s">
        <v>1111</v>
      </c>
      <c r="E337" s="230" t="s">
        <v>969</v>
      </c>
      <c r="F337" s="316">
        <v>5.8999999999999997E-2</v>
      </c>
      <c r="G337" s="207">
        <f t="shared" si="54"/>
        <v>87412.881355932201</v>
      </c>
      <c r="H337" s="243">
        <f>40+246+410</f>
        <v>696</v>
      </c>
      <c r="I337" s="354"/>
      <c r="J337" s="354"/>
      <c r="K337" s="186">
        <f t="shared" si="55"/>
        <v>5157.3599999999997</v>
      </c>
      <c r="L337" s="321" t="e">
        <f t="shared" si="56"/>
        <v>#REF!</v>
      </c>
      <c r="M337" s="459"/>
      <c r="N337" s="131" t="e">
        <f>IF(ISNA(MATCH(C337,#REF!,0)),"",INDEX(#REF!,MATCH(C337,#REF!,0)))</f>
        <v>#REF!</v>
      </c>
      <c r="O337" s="114" t="e">
        <f>SUMIF(#REF!,C337,#REF!)</f>
        <v>#REF!</v>
      </c>
      <c r="P337" s="114" t="s">
        <v>30</v>
      </c>
    </row>
    <row r="338" spans="1:16" ht="52" x14ac:dyDescent="0.3">
      <c r="A338" s="50"/>
      <c r="B338" s="134"/>
      <c r="C338" s="201" t="s">
        <v>1512</v>
      </c>
      <c r="D338" s="58" t="s">
        <v>1112</v>
      </c>
      <c r="E338" s="200" t="s">
        <v>969</v>
      </c>
      <c r="F338" s="316">
        <v>0.14299999999999999</v>
      </c>
      <c r="G338" s="207">
        <f t="shared" si="54"/>
        <v>126488.18181818181</v>
      </c>
      <c r="H338" s="243">
        <f>139+595+1253+382+72</f>
        <v>2441</v>
      </c>
      <c r="I338" s="354"/>
      <c r="J338" s="354"/>
      <c r="K338" s="186">
        <f t="shared" si="55"/>
        <v>18087.809999999998</v>
      </c>
      <c r="L338" s="321" t="e">
        <f t="shared" si="56"/>
        <v>#REF!</v>
      </c>
      <c r="M338" s="450"/>
      <c r="N338" s="131" t="e">
        <f>IF(ISNA(MATCH(C338,#REF!,0)),"",INDEX(#REF!,MATCH(C338,#REF!,0)))</f>
        <v>#REF!</v>
      </c>
      <c r="O338" s="114" t="e">
        <f>SUMIF(#REF!,C338,#REF!)</f>
        <v>#REF!</v>
      </c>
      <c r="P338" s="114" t="s">
        <v>30</v>
      </c>
    </row>
    <row r="339" spans="1:16" ht="39" x14ac:dyDescent="0.3">
      <c r="A339" s="50"/>
      <c r="B339" s="134"/>
      <c r="C339" s="201" t="s">
        <v>1513</v>
      </c>
      <c r="D339" s="58" t="s">
        <v>1131</v>
      </c>
      <c r="E339" s="200" t="s">
        <v>969</v>
      </c>
      <c r="F339" s="316">
        <v>0.17899999999999999</v>
      </c>
      <c r="G339" s="207">
        <f t="shared" si="54"/>
        <v>108914.58100558659</v>
      </c>
      <c r="H339" s="243">
        <f>348+708+68+310+239+958</f>
        <v>2631</v>
      </c>
      <c r="I339" s="354"/>
      <c r="J339" s="354"/>
      <c r="K339" s="186">
        <f t="shared" si="55"/>
        <v>19495.71</v>
      </c>
      <c r="L339" s="321" t="e">
        <f t="shared" si="56"/>
        <v>#REF!</v>
      </c>
      <c r="M339" s="450"/>
      <c r="N339" s="131" t="e">
        <f>IF(ISNA(MATCH(C339,#REF!,0)),"",INDEX(#REF!,MATCH(C339,#REF!,0)))</f>
        <v>#REF!</v>
      </c>
      <c r="O339" s="114" t="e">
        <f>SUMIF(#REF!,C339,#REF!)</f>
        <v>#REF!</v>
      </c>
      <c r="P339" s="114" t="s">
        <v>30</v>
      </c>
    </row>
    <row r="340" spans="1:16" ht="39" x14ac:dyDescent="0.3">
      <c r="A340" s="50"/>
      <c r="B340" s="134"/>
      <c r="C340" s="201" t="s">
        <v>1514</v>
      </c>
      <c r="D340" s="58" t="s">
        <v>1127</v>
      </c>
      <c r="E340" s="200" t="s">
        <v>969</v>
      </c>
      <c r="F340" s="316">
        <v>0.42199999999999999</v>
      </c>
      <c r="G340" s="207">
        <f t="shared" si="54"/>
        <v>106812.86729857819</v>
      </c>
      <c r="H340" s="243">
        <f>833+1669+2029+173+815+564</f>
        <v>6083</v>
      </c>
      <c r="I340" s="354"/>
      <c r="J340" s="354"/>
      <c r="K340" s="186">
        <f t="shared" si="55"/>
        <v>45075.029999999992</v>
      </c>
      <c r="L340" s="321" t="e">
        <f t="shared" si="56"/>
        <v>#REF!</v>
      </c>
      <c r="M340" s="450"/>
      <c r="N340" s="131" t="e">
        <f>IF(ISNA(MATCH(C340,#REF!,0)),"",INDEX(#REF!,MATCH(C340,#REF!,0)))</f>
        <v>#REF!</v>
      </c>
      <c r="O340" s="114" t="e">
        <f>SUMIF(#REF!,C340,#REF!)</f>
        <v>#REF!</v>
      </c>
      <c r="P340" s="114" t="s">
        <v>30</v>
      </c>
    </row>
    <row r="341" spans="1:16" ht="26" x14ac:dyDescent="0.3">
      <c r="A341" s="50"/>
      <c r="B341" s="134"/>
      <c r="C341" s="201" t="s">
        <v>1515</v>
      </c>
      <c r="D341" s="58" t="s">
        <v>829</v>
      </c>
      <c r="E341" s="200" t="s">
        <v>720</v>
      </c>
      <c r="F341" s="316">
        <v>61.195999999999998</v>
      </c>
      <c r="G341" s="207">
        <f t="shared" si="54"/>
        <v>236.84489182299492</v>
      </c>
      <c r="H341" s="243">
        <f>1445+179+332</f>
        <v>1956</v>
      </c>
      <c r="I341" s="354"/>
      <c r="J341" s="354"/>
      <c r="K341" s="186">
        <f t="shared" si="55"/>
        <v>14493.959999999997</v>
      </c>
      <c r="L341" s="321" t="e">
        <f t="shared" si="56"/>
        <v>#REF!</v>
      </c>
      <c r="M341" s="450"/>
      <c r="N341" s="131" t="e">
        <f>IF(ISNA(MATCH(C341,#REF!,0)),"",INDEX(#REF!,MATCH(C341,#REF!,0)))</f>
        <v>#REF!</v>
      </c>
      <c r="O341" s="114" t="e">
        <f>SUMIF(#REF!,C341,#REF!)</f>
        <v>#REF!</v>
      </c>
      <c r="P341" s="114" t="s">
        <v>30</v>
      </c>
    </row>
    <row r="342" spans="1:16" ht="26" x14ac:dyDescent="0.3">
      <c r="A342" s="50"/>
      <c r="B342" s="134"/>
      <c r="C342" s="201" t="s">
        <v>1516</v>
      </c>
      <c r="D342" s="182" t="s">
        <v>832</v>
      </c>
      <c r="E342" s="183" t="s">
        <v>977</v>
      </c>
      <c r="F342" s="316">
        <v>0.61195999999999995</v>
      </c>
      <c r="G342" s="207">
        <f t="shared" si="54"/>
        <v>2881.8550232041312</v>
      </c>
      <c r="H342" s="243">
        <v>238</v>
      </c>
      <c r="I342" s="354"/>
      <c r="J342" s="354"/>
      <c r="K342" s="186">
        <f t="shared" si="55"/>
        <v>1763.58</v>
      </c>
      <c r="L342" s="321" t="e">
        <f t="shared" si="56"/>
        <v>#REF!</v>
      </c>
      <c r="M342" s="450"/>
      <c r="N342" s="123" t="e">
        <f>IF(ISNA(MATCH(C342,#REF!,0)),"",INDEX(#REF!,MATCH(C342,#REF!,0)))</f>
        <v>#REF!</v>
      </c>
      <c r="O342" s="124" t="e">
        <f>SUMIF(#REF!,C342,#REF!)</f>
        <v>#REF!</v>
      </c>
      <c r="P342" s="124" t="s">
        <v>30</v>
      </c>
    </row>
    <row r="343" spans="1:16" ht="26" x14ac:dyDescent="0.3">
      <c r="A343" s="50"/>
      <c r="B343" s="134"/>
      <c r="C343" s="201" t="s">
        <v>1517</v>
      </c>
      <c r="D343" s="182" t="s">
        <v>833</v>
      </c>
      <c r="E343" s="183" t="s">
        <v>977</v>
      </c>
      <c r="F343" s="316">
        <v>0.61195999999999995</v>
      </c>
      <c r="G343" s="207">
        <f t="shared" si="54"/>
        <v>10498.186155957905</v>
      </c>
      <c r="H343" s="243">
        <v>867</v>
      </c>
      <c r="I343" s="354"/>
      <c r="J343" s="354"/>
      <c r="K343" s="186">
        <f t="shared" si="55"/>
        <v>6424.4699999999993</v>
      </c>
      <c r="L343" s="321" t="e">
        <f t="shared" si="56"/>
        <v>#REF!</v>
      </c>
      <c r="M343" s="450"/>
      <c r="N343" s="123" t="e">
        <f>IF(ISNA(MATCH(C343,#REF!,0)),"",INDEX(#REF!,MATCH(C343,#REF!,0)))</f>
        <v>#REF!</v>
      </c>
      <c r="O343" s="124" t="e">
        <f>SUMIF(#REF!,C343,#REF!)</f>
        <v>#REF!</v>
      </c>
      <c r="P343" s="124" t="s">
        <v>30</v>
      </c>
    </row>
    <row r="344" spans="1:16" ht="26" x14ac:dyDescent="0.3">
      <c r="A344" s="50"/>
      <c r="B344" s="148"/>
      <c r="C344" s="216" t="s">
        <v>1518</v>
      </c>
      <c r="D344" s="232" t="s">
        <v>1132</v>
      </c>
      <c r="E344" s="250"/>
      <c r="F344" s="251"/>
      <c r="G344" s="235"/>
      <c r="H344" s="301">
        <f>SUM(H345:H359)</f>
        <v>25541</v>
      </c>
      <c r="I344" s="343"/>
      <c r="J344" s="343"/>
      <c r="K344" s="236">
        <f>SUM(K345:K359)</f>
        <v>189258.80999999997</v>
      </c>
      <c r="L344" s="236" t="e">
        <f>SUM(L345:L359)</f>
        <v>#REF!</v>
      </c>
      <c r="M344" s="450"/>
      <c r="N344" s="149" t="e">
        <f>IF(ISNA(MATCH(C344,#REF!,0)),"",INDEX(#REF!,MATCH(C344,#REF!,0)))</f>
        <v>#REF!</v>
      </c>
      <c r="O344" s="150" t="e">
        <f>SUMIF(#REF!,C344,#REF!)</f>
        <v>#REF!</v>
      </c>
      <c r="P344" s="150" t="s">
        <v>30</v>
      </c>
    </row>
    <row r="345" spans="1:16" ht="39" x14ac:dyDescent="0.3">
      <c r="A345" s="50"/>
      <c r="B345" s="134"/>
      <c r="C345" s="201" t="s">
        <v>1519</v>
      </c>
      <c r="D345" s="58" t="s">
        <v>1129</v>
      </c>
      <c r="E345" s="200" t="s">
        <v>969</v>
      </c>
      <c r="F345" s="316">
        <v>1.071</v>
      </c>
      <c r="G345" s="207">
        <f t="shared" ref="G345:G359" si="57">K345/F345</f>
        <v>20251.232492997198</v>
      </c>
      <c r="H345" s="187">
        <f>1905+1021+1</f>
        <v>2927</v>
      </c>
      <c r="I345" s="244"/>
      <c r="J345" s="244"/>
      <c r="K345" s="186">
        <f t="shared" ref="K345:K359" si="58">H345*$C$4*$C$5</f>
        <v>21689.07</v>
      </c>
      <c r="L345" s="321" t="e">
        <f t="shared" ref="L345:L359" si="59">IF(N345="поставка Заказчика",N345,K345)</f>
        <v>#REF!</v>
      </c>
      <c r="M345" s="450"/>
      <c r="N345" s="131" t="e">
        <f>IF(ISNA(MATCH(C345,#REF!,0)),"",INDEX(#REF!,MATCH(C345,#REF!,0)))</f>
        <v>#REF!</v>
      </c>
      <c r="O345" s="114" t="e">
        <f>SUMIF(#REF!,C345,#REF!)</f>
        <v>#REF!</v>
      </c>
      <c r="P345" s="114" t="s">
        <v>30</v>
      </c>
    </row>
    <row r="346" spans="1:16" ht="26" x14ac:dyDescent="0.3">
      <c r="A346" s="50"/>
      <c r="B346" s="134"/>
      <c r="C346" s="201" t="s">
        <v>1520</v>
      </c>
      <c r="D346" s="58" t="s">
        <v>1104</v>
      </c>
      <c r="E346" s="200" t="s">
        <v>971</v>
      </c>
      <c r="F346" s="316">
        <v>16.765999999999998</v>
      </c>
      <c r="G346" s="207">
        <f t="shared" si="57"/>
        <v>1581.7958964571155</v>
      </c>
      <c r="H346" s="191">
        <v>3579</v>
      </c>
      <c r="I346" s="346"/>
      <c r="J346" s="346"/>
      <c r="K346" s="186">
        <f t="shared" si="58"/>
        <v>26520.389999999996</v>
      </c>
      <c r="L346" s="321" t="e">
        <f t="shared" si="59"/>
        <v>#REF!</v>
      </c>
      <c r="M346" s="450"/>
      <c r="N346" s="131" t="e">
        <f>IF(ISNA(MATCH(C346,#REF!,0)),"",INDEX(#REF!,MATCH(C346,#REF!,0)))</f>
        <v>#REF!</v>
      </c>
      <c r="O346" s="114" t="e">
        <f>SUMIF(#REF!,C346,#REF!)</f>
        <v>#REF!</v>
      </c>
      <c r="P346" s="114" t="s">
        <v>30</v>
      </c>
    </row>
    <row r="347" spans="1:16" ht="52" x14ac:dyDescent="0.3">
      <c r="A347" s="50"/>
      <c r="B347" s="134"/>
      <c r="C347" s="201" t="s">
        <v>1521</v>
      </c>
      <c r="D347" s="58" t="s">
        <v>1130</v>
      </c>
      <c r="E347" s="200" t="s">
        <v>969</v>
      </c>
      <c r="F347" s="316">
        <v>4.2000000000000003E-2</v>
      </c>
      <c r="G347" s="207">
        <f t="shared" si="57"/>
        <v>169018.57142857139</v>
      </c>
      <c r="H347" s="187">
        <f>64+373+521</f>
        <v>958</v>
      </c>
      <c r="I347" s="244"/>
      <c r="J347" s="244"/>
      <c r="K347" s="186">
        <f t="shared" si="58"/>
        <v>7098.7799999999988</v>
      </c>
      <c r="L347" s="321" t="e">
        <f t="shared" si="59"/>
        <v>#REF!</v>
      </c>
      <c r="M347" s="450"/>
      <c r="N347" s="131" t="e">
        <f>IF(ISNA(MATCH(C347,#REF!,0)),"",INDEX(#REF!,MATCH(C347,#REF!,0)))</f>
        <v>#REF!</v>
      </c>
      <c r="O347" s="114" t="e">
        <f>SUMIF(#REF!,C347,#REF!)</f>
        <v>#REF!</v>
      </c>
      <c r="P347" s="114" t="s">
        <v>30</v>
      </c>
    </row>
    <row r="348" spans="1:16" ht="52" x14ac:dyDescent="0.3">
      <c r="A348" s="50"/>
      <c r="B348" s="134"/>
      <c r="C348" s="201" t="s">
        <v>1522</v>
      </c>
      <c r="D348" s="58" t="s">
        <v>211</v>
      </c>
      <c r="E348" s="200" t="s">
        <v>826</v>
      </c>
      <c r="F348" s="316">
        <v>6.7200000000000003E-3</v>
      </c>
      <c r="G348" s="207">
        <f t="shared" si="57"/>
        <v>1369526.7857142854</v>
      </c>
      <c r="H348" s="187">
        <f>415+288+214+234+91</f>
        <v>1242</v>
      </c>
      <c r="I348" s="244"/>
      <c r="J348" s="244"/>
      <c r="K348" s="186">
        <f t="shared" si="58"/>
        <v>9203.2199999999993</v>
      </c>
      <c r="L348" s="321" t="e">
        <f t="shared" si="59"/>
        <v>#REF!</v>
      </c>
      <c r="M348" s="450"/>
      <c r="N348" s="131" t="e">
        <f>IF(ISNA(MATCH(C348,#REF!,0)),"",INDEX(#REF!,MATCH(C348,#REF!,0)))</f>
        <v>#REF!</v>
      </c>
      <c r="O348" s="114" t="e">
        <f>SUMIF(#REF!,C348,#REF!)</f>
        <v>#REF!</v>
      </c>
      <c r="P348" s="114" t="s">
        <v>30</v>
      </c>
    </row>
    <row r="349" spans="1:16" ht="26" x14ac:dyDescent="0.3">
      <c r="A349" s="50"/>
      <c r="B349" s="134"/>
      <c r="C349" s="201" t="s">
        <v>1523</v>
      </c>
      <c r="D349" s="217" t="s">
        <v>225</v>
      </c>
      <c r="E349" s="189" t="s">
        <v>969</v>
      </c>
      <c r="F349" s="316">
        <v>6.6000000000000003E-2</v>
      </c>
      <c r="G349" s="207">
        <f t="shared" si="57"/>
        <v>137309.54545454541</v>
      </c>
      <c r="H349" s="187">
        <f>44+274+176+22+406+26+130+40+60+45</f>
        <v>1223</v>
      </c>
      <c r="I349" s="244"/>
      <c r="J349" s="244"/>
      <c r="K349" s="186">
        <f t="shared" si="58"/>
        <v>9062.4299999999985</v>
      </c>
      <c r="L349" s="321" t="e">
        <f t="shared" si="59"/>
        <v>#REF!</v>
      </c>
      <c r="M349" s="450"/>
      <c r="N349" s="319" t="e">
        <f>IF(ISNA(MATCH(C349,#REF!,0)),"",INDEX(#REF!,MATCH(C349,#REF!,0)))</f>
        <v>#REF!</v>
      </c>
      <c r="O349" s="113" t="e">
        <f>SUMIF(#REF!,C349,#REF!)</f>
        <v>#REF!</v>
      </c>
      <c r="P349" s="113" t="s">
        <v>30</v>
      </c>
    </row>
    <row r="350" spans="1:16" ht="26" x14ac:dyDescent="0.3">
      <c r="A350" s="50"/>
      <c r="B350" s="134"/>
      <c r="C350" s="201" t="s">
        <v>1524</v>
      </c>
      <c r="D350" s="188" t="s">
        <v>829</v>
      </c>
      <c r="E350" s="183" t="s">
        <v>720</v>
      </c>
      <c r="F350" s="316">
        <v>10.324999999999999</v>
      </c>
      <c r="G350" s="207">
        <f t="shared" si="57"/>
        <v>236.1152542372881</v>
      </c>
      <c r="H350" s="243">
        <f>244+29+56</f>
        <v>329</v>
      </c>
      <c r="I350" s="354"/>
      <c r="J350" s="354"/>
      <c r="K350" s="186">
        <f t="shared" si="58"/>
        <v>2437.8899999999994</v>
      </c>
      <c r="L350" s="321" t="e">
        <f t="shared" si="59"/>
        <v>#REF!</v>
      </c>
      <c r="M350" s="450"/>
      <c r="N350" s="123" t="e">
        <f>IF(ISNA(MATCH(C350,#REF!,0)),"",INDEX(#REF!,MATCH(C350,#REF!,0)))</f>
        <v>#REF!</v>
      </c>
      <c r="O350" s="124" t="e">
        <f>SUMIF(#REF!,C350,#REF!)</f>
        <v>#REF!</v>
      </c>
      <c r="P350" s="124" t="s">
        <v>30</v>
      </c>
    </row>
    <row r="351" spans="1:16" ht="26" x14ac:dyDescent="0.3">
      <c r="A351" s="50"/>
      <c r="B351" s="134"/>
      <c r="C351" s="201" t="s">
        <v>1525</v>
      </c>
      <c r="D351" s="228" t="s">
        <v>212</v>
      </c>
      <c r="E351" s="183" t="s">
        <v>977</v>
      </c>
      <c r="F351" s="316">
        <v>0.10324999999999999</v>
      </c>
      <c r="G351" s="207">
        <f t="shared" si="57"/>
        <v>3229.53995157385</v>
      </c>
      <c r="H351" s="243">
        <f>41+4</f>
        <v>45</v>
      </c>
      <c r="I351" s="354"/>
      <c r="J351" s="354"/>
      <c r="K351" s="186">
        <f t="shared" si="58"/>
        <v>333.45</v>
      </c>
      <c r="L351" s="321" t="e">
        <f t="shared" si="59"/>
        <v>#REF!</v>
      </c>
      <c r="M351" s="450"/>
      <c r="N351" s="123" t="e">
        <f>IF(ISNA(MATCH(C351,#REF!,0)),"",INDEX(#REF!,MATCH(C351,#REF!,0)))</f>
        <v>#REF!</v>
      </c>
      <c r="O351" s="124" t="e">
        <f>SUMIF(#REF!,C351,#REF!)</f>
        <v>#REF!</v>
      </c>
      <c r="P351" s="124" t="s">
        <v>30</v>
      </c>
    </row>
    <row r="352" spans="1:16" ht="39" x14ac:dyDescent="0.3">
      <c r="A352" s="50"/>
      <c r="B352" s="134"/>
      <c r="C352" s="201" t="s">
        <v>1526</v>
      </c>
      <c r="D352" s="229" t="s">
        <v>961</v>
      </c>
      <c r="E352" s="230" t="s">
        <v>977</v>
      </c>
      <c r="F352" s="316">
        <v>0.10324999999999999</v>
      </c>
      <c r="G352" s="207">
        <f t="shared" si="57"/>
        <v>3444.8426150121068</v>
      </c>
      <c r="H352" s="243">
        <f>10+38</f>
        <v>48</v>
      </c>
      <c r="I352" s="354"/>
      <c r="J352" s="354"/>
      <c r="K352" s="186">
        <f t="shared" si="58"/>
        <v>355.68</v>
      </c>
      <c r="L352" s="321" t="e">
        <f t="shared" si="59"/>
        <v>#REF!</v>
      </c>
      <c r="M352" s="450"/>
      <c r="N352" s="131" t="e">
        <f>IF(ISNA(MATCH(C352,#REF!,0)),"",INDEX(#REF!,MATCH(C352,#REF!,0)))</f>
        <v>#REF!</v>
      </c>
      <c r="O352" s="114" t="e">
        <f>SUMIF(#REF!,C352,#REF!)</f>
        <v>#REF!</v>
      </c>
      <c r="P352" s="114" t="s">
        <v>30</v>
      </c>
    </row>
    <row r="353" spans="1:16" ht="52" x14ac:dyDescent="0.3">
      <c r="A353" s="50"/>
      <c r="B353" s="134"/>
      <c r="C353" s="201" t="s">
        <v>1527</v>
      </c>
      <c r="D353" s="59" t="s">
        <v>1134</v>
      </c>
      <c r="E353" s="230" t="s">
        <v>969</v>
      </c>
      <c r="F353" s="316">
        <v>8.8999999999999996E-2</v>
      </c>
      <c r="G353" s="207">
        <f t="shared" si="57"/>
        <v>87171.573033707871</v>
      </c>
      <c r="H353" s="243">
        <f>60+370+617</f>
        <v>1047</v>
      </c>
      <c r="I353" s="354"/>
      <c r="J353" s="354"/>
      <c r="K353" s="186">
        <f t="shared" si="58"/>
        <v>7758.2699999999995</v>
      </c>
      <c r="L353" s="321" t="e">
        <f t="shared" si="59"/>
        <v>#REF!</v>
      </c>
      <c r="M353" s="450"/>
      <c r="N353" s="131" t="e">
        <f>IF(ISNA(MATCH(C353,#REF!,0)),"",INDEX(#REF!,MATCH(C353,#REF!,0)))</f>
        <v>#REF!</v>
      </c>
      <c r="O353" s="114" t="e">
        <f>SUMIF(#REF!,C353,#REF!)</f>
        <v>#REF!</v>
      </c>
      <c r="P353" s="114" t="s">
        <v>30</v>
      </c>
    </row>
    <row r="354" spans="1:16" ht="65" x14ac:dyDescent="0.3">
      <c r="A354" s="50"/>
      <c r="B354" s="134"/>
      <c r="C354" s="201" t="s">
        <v>1528</v>
      </c>
      <c r="D354" s="58" t="s">
        <v>1133</v>
      </c>
      <c r="E354" s="200" t="s">
        <v>969</v>
      </c>
      <c r="F354" s="316">
        <v>4.3999999999999997E-2</v>
      </c>
      <c r="G354" s="207">
        <f t="shared" si="57"/>
        <v>132369.54545454547</v>
      </c>
      <c r="H354" s="243">
        <f>45+192+549</f>
        <v>786</v>
      </c>
      <c r="I354" s="354"/>
      <c r="J354" s="354"/>
      <c r="K354" s="186">
        <f t="shared" si="58"/>
        <v>5824.26</v>
      </c>
      <c r="L354" s="321" t="e">
        <f t="shared" si="59"/>
        <v>#REF!</v>
      </c>
      <c r="M354" s="450"/>
      <c r="N354" s="131" t="e">
        <f>IF(ISNA(MATCH(C354,#REF!,0)),"",INDEX(#REF!,MATCH(C354,#REF!,0)))</f>
        <v>#REF!</v>
      </c>
      <c r="O354" s="114" t="e">
        <f>SUMIF(#REF!,C354,#REF!)</f>
        <v>#REF!</v>
      </c>
      <c r="P354" s="114" t="s">
        <v>30</v>
      </c>
    </row>
    <row r="355" spans="1:16" ht="39" x14ac:dyDescent="0.3">
      <c r="A355" s="50"/>
      <c r="B355" s="134"/>
      <c r="C355" s="201" t="s">
        <v>1529</v>
      </c>
      <c r="D355" s="58" t="s">
        <v>1131</v>
      </c>
      <c r="E355" s="200" t="s">
        <v>969</v>
      </c>
      <c r="F355" s="316">
        <v>0.371</v>
      </c>
      <c r="G355" s="207">
        <f t="shared" si="57"/>
        <v>107614.77088948787</v>
      </c>
      <c r="H355" s="243">
        <f>721+1467+155+712+532+1801</f>
        <v>5388</v>
      </c>
      <c r="I355" s="354"/>
      <c r="J355" s="354"/>
      <c r="K355" s="186">
        <f t="shared" si="58"/>
        <v>39925.08</v>
      </c>
      <c r="L355" s="321" t="e">
        <f t="shared" si="59"/>
        <v>#REF!</v>
      </c>
      <c r="M355" s="450"/>
      <c r="N355" s="131" t="e">
        <f>IF(ISNA(MATCH(C355,#REF!,0)),"",INDEX(#REF!,MATCH(C355,#REF!,0)))</f>
        <v>#REF!</v>
      </c>
      <c r="O355" s="114" t="e">
        <f>SUMIF(#REF!,C355,#REF!)</f>
        <v>#REF!</v>
      </c>
      <c r="P355" s="114" t="s">
        <v>30</v>
      </c>
    </row>
    <row r="356" spans="1:16" ht="39" x14ac:dyDescent="0.3">
      <c r="A356" s="50"/>
      <c r="B356" s="134"/>
      <c r="C356" s="201" t="s">
        <v>1530</v>
      </c>
      <c r="D356" s="58" t="s">
        <v>1127</v>
      </c>
      <c r="E356" s="200" t="s">
        <v>969</v>
      </c>
      <c r="F356" s="316">
        <v>0.33900000000000002</v>
      </c>
      <c r="G356" s="207">
        <f t="shared" si="57"/>
        <v>108658.14159292035</v>
      </c>
      <c r="H356" s="243">
        <f>671+1341+1887+118+563+391</f>
        <v>4971</v>
      </c>
      <c r="I356" s="354"/>
      <c r="J356" s="354"/>
      <c r="K356" s="186">
        <f t="shared" si="58"/>
        <v>36835.11</v>
      </c>
      <c r="L356" s="321" t="e">
        <f t="shared" si="59"/>
        <v>#REF!</v>
      </c>
      <c r="M356" s="450"/>
      <c r="N356" s="131" t="e">
        <f>IF(ISNA(MATCH(C356,#REF!,0)),"",INDEX(#REF!,MATCH(C356,#REF!,0)))</f>
        <v>#REF!</v>
      </c>
      <c r="O356" s="114" t="e">
        <f>SUMIF(#REF!,C356,#REF!)</f>
        <v>#REF!</v>
      </c>
      <c r="P356" s="114" t="s">
        <v>30</v>
      </c>
    </row>
    <row r="357" spans="1:16" ht="26" x14ac:dyDescent="0.3">
      <c r="A357" s="50"/>
      <c r="B357" s="134"/>
      <c r="C357" s="201" t="s">
        <v>1531</v>
      </c>
      <c r="D357" s="58" t="s">
        <v>829</v>
      </c>
      <c r="E357" s="200" t="s">
        <v>720</v>
      </c>
      <c r="F357" s="316">
        <v>59.96</v>
      </c>
      <c r="G357" s="207">
        <f t="shared" si="57"/>
        <v>236.66027351567712</v>
      </c>
      <c r="H357" s="243">
        <f>1415+175+325</f>
        <v>1915</v>
      </c>
      <c r="I357" s="354"/>
      <c r="J357" s="354"/>
      <c r="K357" s="186">
        <f t="shared" si="58"/>
        <v>14190.15</v>
      </c>
      <c r="L357" s="321" t="e">
        <f t="shared" si="59"/>
        <v>#REF!</v>
      </c>
      <c r="M357" s="450"/>
      <c r="N357" s="131" t="e">
        <f>IF(ISNA(MATCH(C357,#REF!,0)),"",INDEX(#REF!,MATCH(C357,#REF!,0)))</f>
        <v>#REF!</v>
      </c>
      <c r="O357" s="114" t="e">
        <f>SUMIF(#REF!,C357,#REF!)</f>
        <v>#REF!</v>
      </c>
      <c r="P357" s="114" t="s">
        <v>30</v>
      </c>
    </row>
    <row r="358" spans="1:16" ht="26" x14ac:dyDescent="0.3">
      <c r="A358" s="50"/>
      <c r="B358" s="134"/>
      <c r="C358" s="201" t="s">
        <v>1532</v>
      </c>
      <c r="D358" s="182" t="s">
        <v>832</v>
      </c>
      <c r="E358" s="183" t="s">
        <v>977</v>
      </c>
      <c r="F358" s="316">
        <v>0.59960000000000002</v>
      </c>
      <c r="G358" s="207">
        <f t="shared" si="57"/>
        <v>2879.4696464309536</v>
      </c>
      <c r="H358" s="243">
        <v>233</v>
      </c>
      <c r="I358" s="354"/>
      <c r="J358" s="354"/>
      <c r="K358" s="186">
        <f t="shared" si="58"/>
        <v>1726.53</v>
      </c>
      <c r="L358" s="321" t="e">
        <f t="shared" si="59"/>
        <v>#REF!</v>
      </c>
      <c r="M358" s="450"/>
      <c r="N358" s="123" t="e">
        <f>IF(ISNA(MATCH(C358,#REF!,0)),"",INDEX(#REF!,MATCH(C358,#REF!,0)))</f>
        <v>#REF!</v>
      </c>
      <c r="O358" s="124" t="e">
        <f>SUMIF(#REF!,C358,#REF!)</f>
        <v>#REF!</v>
      </c>
      <c r="P358" s="124" t="s">
        <v>30</v>
      </c>
    </row>
    <row r="359" spans="1:16" ht="26" x14ac:dyDescent="0.3">
      <c r="A359" s="50"/>
      <c r="B359" s="134"/>
      <c r="C359" s="201" t="s">
        <v>1533</v>
      </c>
      <c r="D359" s="182" t="s">
        <v>833</v>
      </c>
      <c r="E359" s="183" t="s">
        <v>977</v>
      </c>
      <c r="F359" s="316">
        <v>0.59960000000000002</v>
      </c>
      <c r="G359" s="207">
        <f t="shared" si="57"/>
        <v>10504.503002001333</v>
      </c>
      <c r="H359" s="243">
        <v>850</v>
      </c>
      <c r="I359" s="354"/>
      <c r="J359" s="354"/>
      <c r="K359" s="186">
        <f t="shared" si="58"/>
        <v>6298.4999999999991</v>
      </c>
      <c r="L359" s="321" t="e">
        <f t="shared" si="59"/>
        <v>#REF!</v>
      </c>
      <c r="M359" s="450"/>
      <c r="N359" s="123" t="e">
        <f>IF(ISNA(MATCH(C359,#REF!,0)),"",INDEX(#REF!,MATCH(C359,#REF!,0)))</f>
        <v>#REF!</v>
      </c>
      <c r="O359" s="124" t="e">
        <f>SUMIF(#REF!,C359,#REF!)</f>
        <v>#REF!</v>
      </c>
      <c r="P359" s="124" t="s">
        <v>30</v>
      </c>
    </row>
    <row r="360" spans="1:16" ht="26" x14ac:dyDescent="0.3">
      <c r="A360" s="50"/>
      <c r="B360" s="148"/>
      <c r="C360" s="216" t="s">
        <v>1534</v>
      </c>
      <c r="D360" s="232" t="s">
        <v>1135</v>
      </c>
      <c r="E360" s="250"/>
      <c r="F360" s="251"/>
      <c r="G360" s="235"/>
      <c r="H360" s="301">
        <f>SUM(H361:H372)</f>
        <v>16542</v>
      </c>
      <c r="I360" s="343"/>
      <c r="J360" s="343"/>
      <c r="K360" s="236">
        <f>SUM(K361:K372)</f>
        <v>122576.22</v>
      </c>
      <c r="L360" s="236" t="e">
        <f>SUM(L361:L372)</f>
        <v>#REF!</v>
      </c>
      <c r="M360" s="450"/>
      <c r="N360" s="149" t="e">
        <f>IF(ISNA(MATCH(C360,#REF!,0)),"",INDEX(#REF!,MATCH(C360,#REF!,0)))</f>
        <v>#REF!</v>
      </c>
      <c r="O360" s="150" t="e">
        <f>SUMIF(#REF!,C360,#REF!)</f>
        <v>#REF!</v>
      </c>
      <c r="P360" s="150" t="s">
        <v>30</v>
      </c>
    </row>
    <row r="361" spans="1:16" ht="26" x14ac:dyDescent="0.3">
      <c r="A361" s="50"/>
      <c r="B361" s="134"/>
      <c r="C361" s="201" t="s">
        <v>1535</v>
      </c>
      <c r="D361" s="58" t="s">
        <v>223</v>
      </c>
      <c r="E361" s="200" t="s">
        <v>1136</v>
      </c>
      <c r="F361" s="316">
        <v>0.1</v>
      </c>
      <c r="G361" s="207">
        <f t="shared" ref="G361:G372" si="60">K361/F361</f>
        <v>33789.599999999991</v>
      </c>
      <c r="H361" s="187">
        <f>455+1</f>
        <v>456</v>
      </c>
      <c r="I361" s="244"/>
      <c r="J361" s="244"/>
      <c r="K361" s="186">
        <f t="shared" ref="K361:K372" si="61">H361*$C$4*$C$5</f>
        <v>3378.9599999999996</v>
      </c>
      <c r="L361" s="321" t="e">
        <f t="shared" ref="L361:L372" si="62">IF(N361="поставка Заказчика",N361,K361)</f>
        <v>#REF!</v>
      </c>
      <c r="M361" s="450"/>
      <c r="N361" s="131" t="e">
        <f>IF(ISNA(MATCH(C361,#REF!,0)),"",INDEX(#REF!,MATCH(C361,#REF!,0)))</f>
        <v>#REF!</v>
      </c>
      <c r="O361" s="114" t="e">
        <f>SUMIF(#REF!,C361,#REF!)</f>
        <v>#REF!</v>
      </c>
      <c r="P361" s="114" t="s">
        <v>30</v>
      </c>
    </row>
    <row r="362" spans="1:16" ht="52" x14ac:dyDescent="0.3">
      <c r="A362" s="50"/>
      <c r="B362" s="134"/>
      <c r="C362" s="201" t="s">
        <v>1536</v>
      </c>
      <c r="D362" s="59" t="s">
        <v>1134</v>
      </c>
      <c r="E362" s="230" t="s">
        <v>969</v>
      </c>
      <c r="F362" s="316">
        <v>0.27400000000000002</v>
      </c>
      <c r="G362" s="207">
        <f t="shared" si="60"/>
        <v>86837.62773722627</v>
      </c>
      <c r="H362" s="243">
        <f>187+1142+1442+130+310</f>
        <v>3211</v>
      </c>
      <c r="I362" s="354"/>
      <c r="J362" s="354"/>
      <c r="K362" s="186">
        <f t="shared" si="61"/>
        <v>23793.51</v>
      </c>
      <c r="L362" s="321" t="e">
        <f t="shared" si="62"/>
        <v>#REF!</v>
      </c>
      <c r="M362" s="450"/>
      <c r="N362" s="131" t="e">
        <f>IF(ISNA(MATCH(C362,#REF!,0)),"",INDEX(#REF!,MATCH(C362,#REF!,0)))</f>
        <v>#REF!</v>
      </c>
      <c r="O362" s="114" t="e">
        <f>SUMIF(#REF!,C362,#REF!)</f>
        <v>#REF!</v>
      </c>
      <c r="P362" s="114" t="s">
        <v>30</v>
      </c>
    </row>
    <row r="363" spans="1:16" ht="39" x14ac:dyDescent="0.3">
      <c r="A363" s="50"/>
      <c r="B363" s="134"/>
      <c r="C363" s="201" t="s">
        <v>1537</v>
      </c>
      <c r="D363" s="58" t="s">
        <v>1137</v>
      </c>
      <c r="E363" s="190" t="s">
        <v>826</v>
      </c>
      <c r="F363" s="316">
        <v>1.2460000000000001E-2</v>
      </c>
      <c r="G363" s="207">
        <f t="shared" si="60"/>
        <v>902759.22953451029</v>
      </c>
      <c r="H363" s="243">
        <f>136+653+203+300+226</f>
        <v>1518</v>
      </c>
      <c r="I363" s="354"/>
      <c r="J363" s="354"/>
      <c r="K363" s="186">
        <f t="shared" si="61"/>
        <v>11248.38</v>
      </c>
      <c r="L363" s="321" t="e">
        <f t="shared" si="62"/>
        <v>#REF!</v>
      </c>
      <c r="M363" s="450"/>
      <c r="N363" s="319" t="e">
        <f>IF(ISNA(MATCH(C363,#REF!,0)),"",INDEX(#REF!,MATCH(C363,#REF!,0)))</f>
        <v>#REF!</v>
      </c>
      <c r="O363" s="113" t="e">
        <f>SUMIF(#REF!,C363,#REF!)</f>
        <v>#REF!</v>
      </c>
      <c r="P363" s="113" t="s">
        <v>30</v>
      </c>
    </row>
    <row r="364" spans="1:16" ht="26" x14ac:dyDescent="0.3">
      <c r="A364" s="50"/>
      <c r="B364" s="134"/>
      <c r="C364" s="201" t="s">
        <v>1538</v>
      </c>
      <c r="D364" s="58" t="s">
        <v>829</v>
      </c>
      <c r="E364" s="200" t="s">
        <v>720</v>
      </c>
      <c r="F364" s="316">
        <v>7</v>
      </c>
      <c r="G364" s="207">
        <f t="shared" si="60"/>
        <v>236.06142857142854</v>
      </c>
      <c r="H364" s="243">
        <f>165+20+38</f>
        <v>223</v>
      </c>
      <c r="I364" s="354"/>
      <c r="J364" s="354"/>
      <c r="K364" s="186">
        <f t="shared" si="61"/>
        <v>1652.4299999999998</v>
      </c>
      <c r="L364" s="321" t="e">
        <f t="shared" si="62"/>
        <v>#REF!</v>
      </c>
      <c r="M364" s="450"/>
      <c r="N364" s="131" t="e">
        <f>IF(ISNA(MATCH(C364,#REF!,0)),"",INDEX(#REF!,MATCH(C364,#REF!,0)))</f>
        <v>#REF!</v>
      </c>
      <c r="O364" s="114" t="e">
        <f>SUMIF(#REF!,C364,#REF!)</f>
        <v>#REF!</v>
      </c>
      <c r="P364" s="114" t="s">
        <v>30</v>
      </c>
    </row>
    <row r="365" spans="1:16" ht="26" x14ac:dyDescent="0.3">
      <c r="A365" s="50"/>
      <c r="B365" s="134"/>
      <c r="C365" s="201" t="s">
        <v>1539</v>
      </c>
      <c r="D365" s="228" t="s">
        <v>212</v>
      </c>
      <c r="E365" s="183" t="s">
        <v>977</v>
      </c>
      <c r="F365" s="316">
        <v>7.0000000000000007E-2</v>
      </c>
      <c r="G365" s="207">
        <f t="shared" si="60"/>
        <v>3387.4285714285706</v>
      </c>
      <c r="H365" s="243">
        <f>28+4</f>
        <v>32</v>
      </c>
      <c r="I365" s="354"/>
      <c r="J365" s="354"/>
      <c r="K365" s="186">
        <f t="shared" si="61"/>
        <v>237.11999999999998</v>
      </c>
      <c r="L365" s="321" t="e">
        <f t="shared" si="62"/>
        <v>#REF!</v>
      </c>
      <c r="M365" s="450"/>
      <c r="N365" s="123" t="e">
        <f>IF(ISNA(MATCH(C365,#REF!,0)),"",INDEX(#REF!,MATCH(C365,#REF!,0)))</f>
        <v>#REF!</v>
      </c>
      <c r="O365" s="124" t="e">
        <f>SUMIF(#REF!,C365,#REF!)</f>
        <v>#REF!</v>
      </c>
      <c r="P365" s="124" t="s">
        <v>30</v>
      </c>
    </row>
    <row r="366" spans="1:16" ht="39" x14ac:dyDescent="0.3">
      <c r="A366" s="50"/>
      <c r="B366" s="141"/>
      <c r="C366" s="253" t="s">
        <v>1540</v>
      </c>
      <c r="D366" s="254" t="s">
        <v>961</v>
      </c>
      <c r="E366" s="230" t="s">
        <v>977</v>
      </c>
      <c r="F366" s="316">
        <v>7.0000000000000007E-2</v>
      </c>
      <c r="G366" s="207">
        <f t="shared" si="60"/>
        <v>4763.5714285714275</v>
      </c>
      <c r="H366" s="243">
        <f>7+38</f>
        <v>45</v>
      </c>
      <c r="I366" s="354"/>
      <c r="J366" s="354"/>
      <c r="K366" s="186">
        <f t="shared" si="61"/>
        <v>333.45</v>
      </c>
      <c r="L366" s="321" t="e">
        <f t="shared" si="62"/>
        <v>#REF!</v>
      </c>
      <c r="M366" s="450"/>
      <c r="N366" s="131" t="e">
        <f>IF(ISNA(MATCH(C366,#REF!,0)),"",INDEX(#REF!,MATCH(C366,#REF!,0)))</f>
        <v>#REF!</v>
      </c>
      <c r="O366" s="114" t="e">
        <f>SUMIF(#REF!,C366,#REF!)</f>
        <v>#REF!</v>
      </c>
      <c r="P366" s="114" t="s">
        <v>30</v>
      </c>
    </row>
    <row r="367" spans="1:16" ht="52" x14ac:dyDescent="0.3">
      <c r="A367" s="50"/>
      <c r="B367" s="134"/>
      <c r="C367" s="201"/>
      <c r="D367" s="58" t="s">
        <v>1112</v>
      </c>
      <c r="E367" s="189" t="s">
        <v>969</v>
      </c>
      <c r="F367" s="316">
        <v>6.2E-2</v>
      </c>
      <c r="G367" s="207">
        <f t="shared" si="60"/>
        <v>126567.58064516129</v>
      </c>
      <c r="H367" s="243">
        <f>60+258+429+312</f>
        <v>1059</v>
      </c>
      <c r="I367" s="354"/>
      <c r="J367" s="354"/>
      <c r="K367" s="186">
        <f t="shared" si="61"/>
        <v>7847.19</v>
      </c>
      <c r="L367" s="321" t="e">
        <f t="shared" si="62"/>
        <v>#REF!</v>
      </c>
      <c r="M367" s="450"/>
      <c r="N367" s="319" t="e">
        <f>IF(ISNA(MATCH(C367,#REF!,0)),"",INDEX(#REF!,MATCH(C367,#REF!,0)))</f>
        <v>#REF!</v>
      </c>
      <c r="O367" s="113" t="e">
        <f>SUMIF(#REF!,C367,#REF!)</f>
        <v>#REF!</v>
      </c>
      <c r="P367" s="113" t="s">
        <v>30</v>
      </c>
    </row>
    <row r="368" spans="1:16" ht="39" x14ac:dyDescent="0.3">
      <c r="A368" s="50"/>
      <c r="B368" s="134"/>
      <c r="C368" s="201"/>
      <c r="D368" s="58" t="s">
        <v>1131</v>
      </c>
      <c r="E368" s="200" t="s">
        <v>969</v>
      </c>
      <c r="F368" s="316">
        <v>0.128</v>
      </c>
      <c r="G368" s="207">
        <f t="shared" si="60"/>
        <v>112307.8125</v>
      </c>
      <c r="H368" s="243">
        <f>249+506+37+184+152+812</f>
        <v>1940</v>
      </c>
      <c r="I368" s="354"/>
      <c r="J368" s="354"/>
      <c r="K368" s="186">
        <f t="shared" si="61"/>
        <v>14375.4</v>
      </c>
      <c r="L368" s="321" t="e">
        <f t="shared" si="62"/>
        <v>#REF!</v>
      </c>
      <c r="M368" s="450"/>
      <c r="N368" s="131" t="e">
        <f>IF(ISNA(MATCH(C368,#REF!,0)),"",INDEX(#REF!,MATCH(C368,#REF!,0)))</f>
        <v>#REF!</v>
      </c>
      <c r="O368" s="114" t="e">
        <f>SUMIF(#REF!,C368,#REF!)</f>
        <v>#REF!</v>
      </c>
      <c r="P368" s="114" t="s">
        <v>30</v>
      </c>
    </row>
    <row r="369" spans="1:16" ht="39" x14ac:dyDescent="0.3">
      <c r="A369" s="50"/>
      <c r="B369" s="134"/>
      <c r="C369" s="201"/>
      <c r="D369" s="58" t="s">
        <v>1127</v>
      </c>
      <c r="E369" s="200" t="s">
        <v>969</v>
      </c>
      <c r="F369" s="316">
        <v>0.186</v>
      </c>
      <c r="G369" s="207">
        <f t="shared" si="60"/>
        <v>107245.80645161289</v>
      </c>
      <c r="H369" s="243">
        <f>366+736+933+74+344+239</f>
        <v>2692</v>
      </c>
      <c r="I369" s="354"/>
      <c r="J369" s="354"/>
      <c r="K369" s="186">
        <f t="shared" si="61"/>
        <v>19947.719999999998</v>
      </c>
      <c r="L369" s="321" t="e">
        <f t="shared" si="62"/>
        <v>#REF!</v>
      </c>
      <c r="M369" s="450"/>
      <c r="N369" s="131" t="e">
        <f>IF(ISNA(MATCH(C369,#REF!,0)),"",INDEX(#REF!,MATCH(C369,#REF!,0)))</f>
        <v>#REF!</v>
      </c>
      <c r="O369" s="114" t="e">
        <f>SUMIF(#REF!,C369,#REF!)</f>
        <v>#REF!</v>
      </c>
      <c r="P369" s="114" t="s">
        <v>30</v>
      </c>
    </row>
    <row r="370" spans="1:16" ht="26" x14ac:dyDescent="0.3">
      <c r="A370" s="50"/>
      <c r="B370" s="134"/>
      <c r="C370" s="201"/>
      <c r="D370" s="58" t="s">
        <v>829</v>
      </c>
      <c r="E370" s="200" t="s">
        <v>720</v>
      </c>
      <c r="F370" s="316">
        <v>107.26600000000001</v>
      </c>
      <c r="G370" s="207">
        <f t="shared" si="60"/>
        <v>236.80830831764021</v>
      </c>
      <c r="H370" s="243">
        <f>2533+313+582</f>
        <v>3428</v>
      </c>
      <c r="I370" s="354"/>
      <c r="J370" s="354"/>
      <c r="K370" s="186">
        <f t="shared" si="61"/>
        <v>25401.479999999996</v>
      </c>
      <c r="L370" s="321" t="e">
        <f t="shared" si="62"/>
        <v>#REF!</v>
      </c>
      <c r="M370" s="450"/>
      <c r="N370" s="131" t="e">
        <f>IF(ISNA(MATCH(C370,#REF!,0)),"",INDEX(#REF!,MATCH(C370,#REF!,0)))</f>
        <v>#REF!</v>
      </c>
      <c r="O370" s="114" t="e">
        <f>SUMIF(#REF!,C370,#REF!)</f>
        <v>#REF!</v>
      </c>
      <c r="P370" s="114" t="s">
        <v>30</v>
      </c>
    </row>
    <row r="371" spans="1:16" ht="26" x14ac:dyDescent="0.3">
      <c r="A371" s="50"/>
      <c r="B371" s="134"/>
      <c r="C371" s="201"/>
      <c r="D371" s="182" t="s">
        <v>832</v>
      </c>
      <c r="E371" s="183" t="s">
        <v>977</v>
      </c>
      <c r="F371" s="316">
        <v>1.073</v>
      </c>
      <c r="G371" s="207">
        <f t="shared" si="60"/>
        <v>2872.8424976700835</v>
      </c>
      <c r="H371" s="243">
        <v>416</v>
      </c>
      <c r="I371" s="354"/>
      <c r="J371" s="354"/>
      <c r="K371" s="186">
        <f t="shared" si="61"/>
        <v>3082.5599999999995</v>
      </c>
      <c r="L371" s="321" t="e">
        <f t="shared" si="62"/>
        <v>#REF!</v>
      </c>
      <c r="M371" s="450"/>
      <c r="N371" s="123" t="e">
        <f>IF(ISNA(MATCH(C371,#REF!,0)),"",INDEX(#REF!,MATCH(C371,#REF!,0)))</f>
        <v>#REF!</v>
      </c>
      <c r="O371" s="124" t="e">
        <f>SUMIF(#REF!,C371,#REF!)</f>
        <v>#REF!</v>
      </c>
      <c r="P371" s="124" t="s">
        <v>30</v>
      </c>
    </row>
    <row r="372" spans="1:16" ht="26" x14ac:dyDescent="0.3">
      <c r="A372" s="50"/>
      <c r="B372" s="134"/>
      <c r="C372" s="201"/>
      <c r="D372" s="182" t="s">
        <v>833</v>
      </c>
      <c r="E372" s="183" t="s">
        <v>977</v>
      </c>
      <c r="F372" s="316">
        <v>1.073</v>
      </c>
      <c r="G372" s="207">
        <f t="shared" si="60"/>
        <v>10510.736253494875</v>
      </c>
      <c r="H372" s="243">
        <v>1522</v>
      </c>
      <c r="I372" s="354"/>
      <c r="J372" s="354"/>
      <c r="K372" s="186">
        <f t="shared" si="61"/>
        <v>11278.02</v>
      </c>
      <c r="L372" s="321" t="e">
        <f t="shared" si="62"/>
        <v>#REF!</v>
      </c>
      <c r="M372" s="450"/>
      <c r="N372" s="123" t="e">
        <f>IF(ISNA(MATCH(C372,#REF!,0)),"",INDEX(#REF!,MATCH(C372,#REF!,0)))</f>
        <v>#REF!</v>
      </c>
      <c r="O372" s="124" t="e">
        <f>SUMIF(#REF!,C372,#REF!)</f>
        <v>#REF!</v>
      </c>
      <c r="P372" s="124" t="s">
        <v>30</v>
      </c>
    </row>
    <row r="373" spans="1:16" ht="26" x14ac:dyDescent="0.3">
      <c r="A373" s="50"/>
      <c r="B373" s="128" t="s">
        <v>1138</v>
      </c>
      <c r="C373" s="213" t="s">
        <v>1541</v>
      </c>
      <c r="D373" s="210" t="s">
        <v>1139</v>
      </c>
      <c r="E373" s="214"/>
      <c r="F373" s="215"/>
      <c r="G373" s="211"/>
      <c r="H373" s="304">
        <f>H374+H383+H391+H399</f>
        <v>147270</v>
      </c>
      <c r="I373" s="347"/>
      <c r="J373" s="347"/>
      <c r="K373" s="205">
        <f>K374+K383+K391+K399</f>
        <v>1091270.7</v>
      </c>
      <c r="L373" s="205" t="e">
        <f>L374+L383+L391+L399</f>
        <v>#REF!</v>
      </c>
      <c r="M373" s="450" t="s">
        <v>1164</v>
      </c>
      <c r="N373" s="136" t="e">
        <f>IF(ISNA(MATCH(C373,#REF!,0)),"",INDEX(#REF!,MATCH(C373,#REF!,0)))</f>
        <v>#REF!</v>
      </c>
      <c r="O373" s="137" t="e">
        <f>SUMIF(#REF!,C373,#REF!)</f>
        <v>#REF!</v>
      </c>
      <c r="P373" s="130" t="s">
        <v>31</v>
      </c>
    </row>
    <row r="374" spans="1:16" s="23" customFormat="1" x14ac:dyDescent="0.3">
      <c r="A374" s="51"/>
      <c r="B374" s="125"/>
      <c r="C374" s="286" t="s">
        <v>1542</v>
      </c>
      <c r="D374" s="287" t="s">
        <v>1140</v>
      </c>
      <c r="E374" s="233"/>
      <c r="F374" s="234"/>
      <c r="G374" s="235"/>
      <c r="H374" s="301">
        <f>SUM(H375:H382)</f>
        <v>54039</v>
      </c>
      <c r="I374" s="343"/>
      <c r="J374" s="343"/>
      <c r="K374" s="236">
        <f>SUM(K375:K382)</f>
        <v>400428.98999999993</v>
      </c>
      <c r="L374" s="236" t="e">
        <f>SUM(L375:L382)</f>
        <v>#REF!</v>
      </c>
      <c r="M374" s="449"/>
      <c r="N374" s="126" t="e">
        <f>IF(ISNA(MATCH(C374,#REF!,0)),"",INDEX(#REF!,MATCH(C374,#REF!,0)))</f>
        <v>#REF!</v>
      </c>
      <c r="O374" s="127" t="e">
        <f>SUMIF(#REF!,C374,#REF!)</f>
        <v>#REF!</v>
      </c>
      <c r="P374" s="127" t="s">
        <v>31</v>
      </c>
    </row>
    <row r="375" spans="1:16" ht="26" x14ac:dyDescent="0.3">
      <c r="A375" s="50"/>
      <c r="B375" s="134"/>
      <c r="C375" s="201" t="s">
        <v>1543</v>
      </c>
      <c r="D375" s="168" t="s">
        <v>84</v>
      </c>
      <c r="E375" s="200" t="s">
        <v>840</v>
      </c>
      <c r="F375" s="316">
        <v>1.592E-2</v>
      </c>
      <c r="G375" s="207">
        <f t="shared" ref="G375:G382" si="63">K375/F375</f>
        <v>27927.135678391958</v>
      </c>
      <c r="H375" s="187">
        <v>60</v>
      </c>
      <c r="I375" s="244"/>
      <c r="J375" s="244"/>
      <c r="K375" s="186">
        <f t="shared" ref="K375:K382" si="64">H375*$C$4*$C$5</f>
        <v>444.59999999999997</v>
      </c>
      <c r="L375" s="321" t="e">
        <f t="shared" ref="L375:L382" si="65">IF(N375="поставка Заказчика",N375,K375)</f>
        <v>#REF!</v>
      </c>
      <c r="M375" s="450"/>
      <c r="N375" s="131" t="e">
        <f>IF(ISNA(MATCH(C375,#REF!,0)),"",INDEX(#REF!,MATCH(C375,#REF!,0)))</f>
        <v>#REF!</v>
      </c>
      <c r="O375" s="114" t="e">
        <f>SUMIF(#REF!,C375,#REF!)</f>
        <v>#REF!</v>
      </c>
      <c r="P375" s="114" t="s">
        <v>31</v>
      </c>
    </row>
    <row r="376" spans="1:16" ht="52" x14ac:dyDescent="0.3">
      <c r="A376" s="50"/>
      <c r="B376" s="134"/>
      <c r="C376" s="201" t="s">
        <v>1544</v>
      </c>
      <c r="D376" s="168" t="s">
        <v>85</v>
      </c>
      <c r="E376" s="200" t="s">
        <v>826</v>
      </c>
      <c r="F376" s="316">
        <v>4.9199999999999999E-3</v>
      </c>
      <c r="G376" s="207">
        <f t="shared" si="63"/>
        <v>204829.26829268294</v>
      </c>
      <c r="H376" s="187">
        <f>14+25+6+12+7+72</f>
        <v>136</v>
      </c>
      <c r="I376" s="244"/>
      <c r="J376" s="244"/>
      <c r="K376" s="186">
        <f t="shared" si="64"/>
        <v>1007.76</v>
      </c>
      <c r="L376" s="321" t="e">
        <f t="shared" si="65"/>
        <v>#REF!</v>
      </c>
      <c r="M376" s="450"/>
      <c r="N376" s="131" t="e">
        <f>IF(ISNA(MATCH(C376,#REF!,0)),"",INDEX(#REF!,MATCH(C376,#REF!,0)))</f>
        <v>#REF!</v>
      </c>
      <c r="O376" s="114" t="e">
        <f>SUMIF(#REF!,C376,#REF!)</f>
        <v>#REF!</v>
      </c>
      <c r="P376" s="114" t="s">
        <v>31</v>
      </c>
    </row>
    <row r="377" spans="1:16" ht="26" x14ac:dyDescent="0.3">
      <c r="A377" s="50"/>
      <c r="B377" s="134"/>
      <c r="C377" s="201" t="s">
        <v>1545</v>
      </c>
      <c r="D377" s="168" t="s">
        <v>1141</v>
      </c>
      <c r="E377" s="200" t="s">
        <v>969</v>
      </c>
      <c r="F377" s="316">
        <v>2.3809999999999998</v>
      </c>
      <c r="G377" s="207">
        <f t="shared" si="63"/>
        <v>149009.15581688366</v>
      </c>
      <c r="H377" s="187">
        <f>5032+21101+11163+36+10545+3</f>
        <v>47880</v>
      </c>
      <c r="I377" s="244"/>
      <c r="J377" s="244"/>
      <c r="K377" s="186">
        <f t="shared" si="64"/>
        <v>354790.8</v>
      </c>
      <c r="L377" s="321" t="e">
        <f t="shared" si="65"/>
        <v>#REF!</v>
      </c>
      <c r="M377" s="450"/>
      <c r="N377" s="131" t="e">
        <f>IF(ISNA(MATCH(C377,#REF!,0)),"",INDEX(#REF!,MATCH(C377,#REF!,0)))</f>
        <v>#REF!</v>
      </c>
      <c r="O377" s="114" t="e">
        <f>SUMIF(#REF!,C377,#REF!)</f>
        <v>#REF!</v>
      </c>
      <c r="P377" s="114" t="s">
        <v>31</v>
      </c>
    </row>
    <row r="378" spans="1:16" ht="26" x14ac:dyDescent="0.3">
      <c r="A378" s="50"/>
      <c r="B378" s="134"/>
      <c r="C378" s="201" t="s">
        <v>1546</v>
      </c>
      <c r="D378" s="58" t="s">
        <v>829</v>
      </c>
      <c r="E378" s="200" t="s">
        <v>720</v>
      </c>
      <c r="F378" s="316">
        <v>11.144</v>
      </c>
      <c r="G378" s="207">
        <f t="shared" si="63"/>
        <v>236.05078966259867</v>
      </c>
      <c r="H378" s="187">
        <f>263+32+60</f>
        <v>355</v>
      </c>
      <c r="I378" s="244"/>
      <c r="J378" s="244"/>
      <c r="K378" s="186">
        <f t="shared" si="64"/>
        <v>2630.5499999999997</v>
      </c>
      <c r="L378" s="321" t="e">
        <f t="shared" si="65"/>
        <v>#REF!</v>
      </c>
      <c r="M378" s="450"/>
      <c r="N378" s="131" t="e">
        <f>IF(ISNA(MATCH(C378,#REF!,0)),"",INDEX(#REF!,MATCH(C378,#REF!,0)))</f>
        <v>#REF!</v>
      </c>
      <c r="O378" s="114" t="e">
        <f>SUMIF(#REF!,C378,#REF!)</f>
        <v>#REF!</v>
      </c>
      <c r="P378" s="114" t="s">
        <v>31</v>
      </c>
    </row>
    <row r="379" spans="1:16" ht="39" x14ac:dyDescent="0.3">
      <c r="A379" s="50"/>
      <c r="B379" s="134"/>
      <c r="C379" s="201" t="s">
        <v>1547</v>
      </c>
      <c r="D379" s="168" t="s">
        <v>1142</v>
      </c>
      <c r="E379" s="200" t="s">
        <v>977</v>
      </c>
      <c r="F379" s="316">
        <v>0.11144</v>
      </c>
      <c r="G379" s="207">
        <f t="shared" si="63"/>
        <v>18884.063173007897</v>
      </c>
      <c r="H379" s="187">
        <f>84+200</f>
        <v>284</v>
      </c>
      <c r="I379" s="244"/>
      <c r="J379" s="244"/>
      <c r="K379" s="186">
        <f t="shared" si="64"/>
        <v>2104.44</v>
      </c>
      <c r="L379" s="321" t="e">
        <f t="shared" si="65"/>
        <v>#REF!</v>
      </c>
      <c r="M379" s="450"/>
      <c r="N379" s="131" t="e">
        <f>IF(ISNA(MATCH(C379,#REF!,0)),"",INDEX(#REF!,MATCH(C379,#REF!,0)))</f>
        <v>#REF!</v>
      </c>
      <c r="O379" s="114" t="e">
        <f>SUMIF(#REF!,C379,#REF!)</f>
        <v>#REF!</v>
      </c>
      <c r="P379" s="114" t="s">
        <v>31</v>
      </c>
    </row>
    <row r="380" spans="1:16" ht="26" x14ac:dyDescent="0.3">
      <c r="A380" s="50"/>
      <c r="B380" s="134"/>
      <c r="C380" s="201" t="s">
        <v>1548</v>
      </c>
      <c r="D380" s="168" t="s">
        <v>1143</v>
      </c>
      <c r="E380" s="200" t="s">
        <v>970</v>
      </c>
      <c r="F380" s="316">
        <v>4</v>
      </c>
      <c r="G380" s="207">
        <f t="shared" si="63"/>
        <v>1828.4174999999998</v>
      </c>
      <c r="H380" s="187">
        <f>436+181+180+190</f>
        <v>987</v>
      </c>
      <c r="I380" s="244"/>
      <c r="J380" s="244"/>
      <c r="K380" s="186">
        <f t="shared" si="64"/>
        <v>7313.6699999999992</v>
      </c>
      <c r="L380" s="321" t="e">
        <f t="shared" si="65"/>
        <v>#REF!</v>
      </c>
      <c r="M380" s="450"/>
      <c r="N380" s="131" t="e">
        <f>IF(ISNA(MATCH(C380,#REF!,0)),"",INDEX(#REF!,MATCH(C380,#REF!,0)))</f>
        <v>#REF!</v>
      </c>
      <c r="O380" s="114" t="e">
        <f>SUMIF(#REF!,C380,#REF!)</f>
        <v>#REF!</v>
      </c>
      <c r="P380" s="114" t="s">
        <v>31</v>
      </c>
    </row>
    <row r="381" spans="1:16" x14ac:dyDescent="0.3">
      <c r="A381" s="50"/>
      <c r="B381" s="134"/>
      <c r="C381" s="201" t="s">
        <v>1549</v>
      </c>
      <c r="D381" s="168" t="s">
        <v>1144</v>
      </c>
      <c r="E381" s="200" t="s">
        <v>969</v>
      </c>
      <c r="F381" s="316">
        <v>2.8000000000000001E-2</v>
      </c>
      <c r="G381" s="207">
        <f t="shared" si="63"/>
        <v>90507.85714285713</v>
      </c>
      <c r="H381" s="187">
        <f>43+141+158</f>
        <v>342</v>
      </c>
      <c r="I381" s="244"/>
      <c r="J381" s="244"/>
      <c r="K381" s="186">
        <f t="shared" si="64"/>
        <v>2534.2199999999998</v>
      </c>
      <c r="L381" s="321" t="e">
        <f t="shared" si="65"/>
        <v>#REF!</v>
      </c>
      <c r="M381" s="450"/>
      <c r="N381" s="131" t="e">
        <f>IF(ISNA(MATCH(C381,#REF!,0)),"",INDEX(#REF!,MATCH(C381,#REF!,0)))</f>
        <v>#REF!</v>
      </c>
      <c r="O381" s="114" t="e">
        <f>SUMIF(#REF!,C381,#REF!)</f>
        <v>#REF!</v>
      </c>
      <c r="P381" s="114" t="s">
        <v>31</v>
      </c>
    </row>
    <row r="382" spans="1:16" ht="26" x14ac:dyDescent="0.3">
      <c r="A382" s="50"/>
      <c r="B382" s="134"/>
      <c r="C382" s="201" t="s">
        <v>1550</v>
      </c>
      <c r="D382" s="168" t="s">
        <v>1145</v>
      </c>
      <c r="E382" s="200" t="s">
        <v>970</v>
      </c>
      <c r="F382" s="316">
        <v>2</v>
      </c>
      <c r="G382" s="207">
        <f t="shared" si="63"/>
        <v>14801.474999999999</v>
      </c>
      <c r="H382" s="187">
        <f>2152+1319+1+20+112+391</f>
        <v>3995</v>
      </c>
      <c r="I382" s="244"/>
      <c r="J382" s="244"/>
      <c r="K382" s="186">
        <f t="shared" si="64"/>
        <v>29602.949999999997</v>
      </c>
      <c r="L382" s="321" t="e">
        <f t="shared" si="65"/>
        <v>#REF!</v>
      </c>
      <c r="M382" s="450"/>
      <c r="N382" s="131" t="e">
        <f>IF(ISNA(MATCH(C382,#REF!,0)),"",INDEX(#REF!,MATCH(C382,#REF!,0)))</f>
        <v>#REF!</v>
      </c>
      <c r="O382" s="114" t="e">
        <f>SUMIF(#REF!,C382,#REF!)</f>
        <v>#REF!</v>
      </c>
      <c r="P382" s="114" t="s">
        <v>31</v>
      </c>
    </row>
    <row r="383" spans="1:16" s="23" customFormat="1" x14ac:dyDescent="0.3">
      <c r="A383" s="51"/>
      <c r="B383" s="125"/>
      <c r="C383" s="286" t="s">
        <v>1551</v>
      </c>
      <c r="D383" s="287" t="s">
        <v>1146</v>
      </c>
      <c r="E383" s="233"/>
      <c r="F383" s="234"/>
      <c r="G383" s="235"/>
      <c r="H383" s="301">
        <f>SUM(H384:H390)</f>
        <v>47882</v>
      </c>
      <c r="I383" s="343"/>
      <c r="J383" s="343"/>
      <c r="K383" s="236">
        <f>SUM(K384:K390)</f>
        <v>354805.61999999994</v>
      </c>
      <c r="L383" s="236" t="e">
        <f>SUM(L384:L390)</f>
        <v>#REF!</v>
      </c>
      <c r="M383" s="449"/>
      <c r="N383" s="126" t="e">
        <f>IF(ISNA(MATCH(C383,#REF!,0)),"",INDEX(#REF!,MATCH(C383,#REF!,0)))</f>
        <v>#REF!</v>
      </c>
      <c r="O383" s="127" t="e">
        <f>SUMIF(#REF!,C383,#REF!)</f>
        <v>#REF!</v>
      </c>
      <c r="P383" s="127" t="s">
        <v>31</v>
      </c>
    </row>
    <row r="384" spans="1:16" ht="26" x14ac:dyDescent="0.3">
      <c r="A384" s="50"/>
      <c r="B384" s="134"/>
      <c r="C384" s="201" t="s">
        <v>1552</v>
      </c>
      <c r="D384" s="224" t="s">
        <v>84</v>
      </c>
      <c r="E384" s="200" t="s">
        <v>840</v>
      </c>
      <c r="F384" s="316">
        <v>1.7187999999999998E-2</v>
      </c>
      <c r="G384" s="207">
        <f t="shared" ref="G384:G390" si="66">K384/F384</f>
        <v>28884.686990923903</v>
      </c>
      <c r="H384" s="307">
        <v>67</v>
      </c>
      <c r="I384" s="350"/>
      <c r="J384" s="350"/>
      <c r="K384" s="186">
        <f t="shared" ref="K384:K390" si="67">H384*$C$4*$C$5</f>
        <v>496.46999999999997</v>
      </c>
      <c r="L384" s="321" t="e">
        <f t="shared" ref="L384:L390" si="68">IF(N384="поставка Заказчика",N384,K384)</f>
        <v>#REF!</v>
      </c>
      <c r="M384" s="450"/>
      <c r="N384" s="131" t="e">
        <f>IF(ISNA(MATCH(C384,#REF!,0)),"",INDEX(#REF!,MATCH(C384,#REF!,0)))</f>
        <v>#REF!</v>
      </c>
      <c r="O384" s="114" t="e">
        <f>SUMIF(#REF!,C384,#REF!)</f>
        <v>#REF!</v>
      </c>
      <c r="P384" s="114" t="s">
        <v>31</v>
      </c>
    </row>
    <row r="385" spans="1:16" ht="52" x14ac:dyDescent="0.3">
      <c r="A385" s="50"/>
      <c r="B385" s="134"/>
      <c r="C385" s="201" t="s">
        <v>1553</v>
      </c>
      <c r="D385" s="224" t="s">
        <v>85</v>
      </c>
      <c r="E385" s="200" t="s">
        <v>826</v>
      </c>
      <c r="F385" s="316">
        <v>5.3200000000000001E-3</v>
      </c>
      <c r="G385" s="207">
        <f t="shared" si="66"/>
        <v>213107.14285714287</v>
      </c>
      <c r="H385" s="307">
        <f>16+27+6+14+8+82</f>
        <v>153</v>
      </c>
      <c r="I385" s="350"/>
      <c r="J385" s="350"/>
      <c r="K385" s="186">
        <f t="shared" si="67"/>
        <v>1133.73</v>
      </c>
      <c r="L385" s="321" t="e">
        <f t="shared" si="68"/>
        <v>#REF!</v>
      </c>
      <c r="M385" s="450"/>
      <c r="N385" s="131" t="e">
        <f>IF(ISNA(MATCH(C385,#REF!,0)),"",INDEX(#REF!,MATCH(C385,#REF!,0)))</f>
        <v>#REF!</v>
      </c>
      <c r="O385" s="114" t="e">
        <f>SUMIF(#REF!,C385,#REF!)</f>
        <v>#REF!</v>
      </c>
      <c r="P385" s="114" t="s">
        <v>31</v>
      </c>
    </row>
    <row r="386" spans="1:16" ht="26" x14ac:dyDescent="0.3">
      <c r="A386" s="50"/>
      <c r="B386" s="134"/>
      <c r="C386" s="201" t="s">
        <v>1554</v>
      </c>
      <c r="D386" s="168" t="s">
        <v>1141</v>
      </c>
      <c r="E386" s="200" t="s">
        <v>969</v>
      </c>
      <c r="F386" s="316">
        <v>2.1230000000000002</v>
      </c>
      <c r="G386" s="207">
        <f t="shared" si="66"/>
        <v>145316.97597739045</v>
      </c>
      <c r="H386" s="307">
        <f>4488+18814+5880+62+10618+1772</f>
        <v>41634</v>
      </c>
      <c r="I386" s="350"/>
      <c r="J386" s="350"/>
      <c r="K386" s="186">
        <f t="shared" si="67"/>
        <v>308507.93999999994</v>
      </c>
      <c r="L386" s="321" t="e">
        <f t="shared" si="68"/>
        <v>#REF!</v>
      </c>
      <c r="M386" s="450"/>
      <c r="N386" s="131" t="e">
        <f>IF(ISNA(MATCH(C386,#REF!,0)),"",INDEX(#REF!,MATCH(C386,#REF!,0)))</f>
        <v>#REF!</v>
      </c>
      <c r="O386" s="114" t="e">
        <f>SUMIF(#REF!,C386,#REF!)</f>
        <v>#REF!</v>
      </c>
      <c r="P386" s="114" t="s">
        <v>31</v>
      </c>
    </row>
    <row r="387" spans="1:16" ht="26" x14ac:dyDescent="0.3">
      <c r="A387" s="50"/>
      <c r="B387" s="134"/>
      <c r="C387" s="201" t="s">
        <v>1555</v>
      </c>
      <c r="D387" s="58" t="s">
        <v>829</v>
      </c>
      <c r="E387" s="200" t="s">
        <v>720</v>
      </c>
      <c r="F387" s="316">
        <v>10.528</v>
      </c>
      <c r="G387" s="207">
        <f t="shared" si="66"/>
        <v>237.19319908814586</v>
      </c>
      <c r="H387" s="307">
        <f>249+31+57</f>
        <v>337</v>
      </c>
      <c r="I387" s="350"/>
      <c r="J387" s="350"/>
      <c r="K387" s="186">
        <f t="shared" si="67"/>
        <v>2497.1699999999996</v>
      </c>
      <c r="L387" s="321" t="e">
        <f t="shared" si="68"/>
        <v>#REF!</v>
      </c>
      <c r="M387" s="450"/>
      <c r="N387" s="131" t="e">
        <f>IF(ISNA(MATCH(C387,#REF!,0)),"",INDEX(#REF!,MATCH(C387,#REF!,0)))</f>
        <v>#REF!</v>
      </c>
      <c r="O387" s="114" t="e">
        <f>SUMIF(#REF!,C387,#REF!)</f>
        <v>#REF!</v>
      </c>
      <c r="P387" s="114" t="s">
        <v>31</v>
      </c>
    </row>
    <row r="388" spans="1:16" ht="39" x14ac:dyDescent="0.3">
      <c r="A388" s="50"/>
      <c r="B388" s="134"/>
      <c r="C388" s="201" t="s">
        <v>1556</v>
      </c>
      <c r="D388" s="168" t="s">
        <v>1142</v>
      </c>
      <c r="E388" s="200" t="s">
        <v>977</v>
      </c>
      <c r="F388" s="316">
        <v>0.10528</v>
      </c>
      <c r="G388" s="207">
        <f t="shared" si="66"/>
        <v>18862.841945288754</v>
      </c>
      <c r="H388" s="307">
        <f>79+189</f>
        <v>268</v>
      </c>
      <c r="I388" s="350"/>
      <c r="J388" s="350"/>
      <c r="K388" s="186">
        <f t="shared" si="67"/>
        <v>1985.8799999999999</v>
      </c>
      <c r="L388" s="321" t="e">
        <f t="shared" si="68"/>
        <v>#REF!</v>
      </c>
      <c r="M388" s="450"/>
      <c r="N388" s="131" t="e">
        <f>IF(ISNA(MATCH(C388,#REF!,0)),"",INDEX(#REF!,MATCH(C388,#REF!,0)))</f>
        <v>#REF!</v>
      </c>
      <c r="O388" s="114" t="e">
        <f>SUMIF(#REF!,C388,#REF!)</f>
        <v>#REF!</v>
      </c>
      <c r="P388" s="114" t="s">
        <v>31</v>
      </c>
    </row>
    <row r="389" spans="1:16" ht="26" x14ac:dyDescent="0.3">
      <c r="A389" s="50"/>
      <c r="B389" s="134"/>
      <c r="C389" s="201" t="s">
        <v>1557</v>
      </c>
      <c r="D389" s="168" t="s">
        <v>1143</v>
      </c>
      <c r="E389" s="200" t="s">
        <v>970</v>
      </c>
      <c r="F389" s="316">
        <v>5</v>
      </c>
      <c r="G389" s="207">
        <f t="shared" si="66"/>
        <v>1825.8239999999998</v>
      </c>
      <c r="H389" s="307">
        <f>546+225+224+237</f>
        <v>1232</v>
      </c>
      <c r="I389" s="350"/>
      <c r="J389" s="350"/>
      <c r="K389" s="186">
        <f t="shared" si="67"/>
        <v>9129.119999999999</v>
      </c>
      <c r="L389" s="321" t="e">
        <f t="shared" si="68"/>
        <v>#REF!</v>
      </c>
      <c r="M389" s="450"/>
      <c r="N389" s="131" t="e">
        <f>IF(ISNA(MATCH(C389,#REF!,0)),"",INDEX(#REF!,MATCH(C389,#REF!,0)))</f>
        <v>#REF!</v>
      </c>
      <c r="O389" s="114" t="e">
        <f>SUMIF(#REF!,C389,#REF!)</f>
        <v>#REF!</v>
      </c>
      <c r="P389" s="114" t="s">
        <v>31</v>
      </c>
    </row>
    <row r="390" spans="1:16" ht="26" x14ac:dyDescent="0.3">
      <c r="A390" s="50"/>
      <c r="B390" s="134"/>
      <c r="C390" s="201" t="s">
        <v>1558</v>
      </c>
      <c r="D390" s="168" t="s">
        <v>1145</v>
      </c>
      <c r="E390" s="200" t="s">
        <v>970</v>
      </c>
      <c r="F390" s="316">
        <v>2</v>
      </c>
      <c r="G390" s="207">
        <f t="shared" si="66"/>
        <v>15527.654999999999</v>
      </c>
      <c r="H390" s="307">
        <f>2152+1319+1+19+209+491</f>
        <v>4191</v>
      </c>
      <c r="I390" s="350"/>
      <c r="J390" s="350"/>
      <c r="K390" s="186">
        <f t="shared" si="67"/>
        <v>31055.309999999998</v>
      </c>
      <c r="L390" s="321" t="e">
        <f t="shared" si="68"/>
        <v>#REF!</v>
      </c>
      <c r="M390" s="450"/>
      <c r="N390" s="131" t="e">
        <f>IF(ISNA(MATCH(C390,#REF!,0)),"",INDEX(#REF!,MATCH(C390,#REF!,0)))</f>
        <v>#REF!</v>
      </c>
      <c r="O390" s="114" t="e">
        <f>SUMIF(#REF!,C390,#REF!)</f>
        <v>#REF!</v>
      </c>
      <c r="P390" s="114" t="s">
        <v>31</v>
      </c>
    </row>
    <row r="391" spans="1:16" s="23" customFormat="1" x14ac:dyDescent="0.3">
      <c r="A391" s="51"/>
      <c r="B391" s="125"/>
      <c r="C391" s="286" t="s">
        <v>1559</v>
      </c>
      <c r="D391" s="287" t="s">
        <v>1147</v>
      </c>
      <c r="E391" s="233"/>
      <c r="F391" s="234"/>
      <c r="G391" s="235"/>
      <c r="H391" s="301">
        <f>SUM(H392:H398)</f>
        <v>15883</v>
      </c>
      <c r="I391" s="343"/>
      <c r="J391" s="343"/>
      <c r="K391" s="236">
        <f>SUM(K392:K398)</f>
        <v>117693.03</v>
      </c>
      <c r="L391" s="236" t="e">
        <f>SUM(L392:L398)</f>
        <v>#REF!</v>
      </c>
      <c r="M391" s="449"/>
      <c r="N391" s="126" t="e">
        <f>IF(ISNA(MATCH(C391,#REF!,0)),"",INDEX(#REF!,MATCH(C391,#REF!,0)))</f>
        <v>#REF!</v>
      </c>
      <c r="O391" s="127" t="e">
        <f>SUMIF(#REF!,C391,#REF!)</f>
        <v>#REF!</v>
      </c>
      <c r="P391" s="127" t="s">
        <v>31</v>
      </c>
    </row>
    <row r="392" spans="1:16" ht="26" x14ac:dyDescent="0.3">
      <c r="A392" s="50"/>
      <c r="B392" s="134"/>
      <c r="C392" s="201" t="s">
        <v>1560</v>
      </c>
      <c r="D392" s="224" t="s">
        <v>84</v>
      </c>
      <c r="E392" s="200" t="s">
        <v>840</v>
      </c>
      <c r="F392" s="316">
        <v>3.8839999999999999E-3</v>
      </c>
      <c r="G392" s="207">
        <f t="shared" ref="G392:G398" si="69">K392/F392</f>
        <v>30525.231719876414</v>
      </c>
      <c r="H392" s="307">
        <v>16</v>
      </c>
      <c r="I392" s="350"/>
      <c r="J392" s="350"/>
      <c r="K392" s="186">
        <f t="shared" ref="K392:K398" si="70">H392*$C$4*$C$5</f>
        <v>118.55999999999999</v>
      </c>
      <c r="L392" s="321" t="e">
        <f t="shared" ref="L392:L398" si="71">IF(N392="поставка Заказчика",N392,K392)</f>
        <v>#REF!</v>
      </c>
      <c r="M392" s="450"/>
      <c r="N392" s="131" t="e">
        <f>IF(ISNA(MATCH(C392,#REF!,0)),"",INDEX(#REF!,MATCH(C392,#REF!,0)))</f>
        <v>#REF!</v>
      </c>
      <c r="O392" s="114" t="e">
        <f>SUMIF(#REF!,C392,#REF!)</f>
        <v>#REF!</v>
      </c>
      <c r="P392" s="114" t="s">
        <v>31</v>
      </c>
    </row>
    <row r="393" spans="1:16" ht="52" x14ac:dyDescent="0.3">
      <c r="A393" s="50"/>
      <c r="B393" s="134"/>
      <c r="C393" s="201" t="s">
        <v>1561</v>
      </c>
      <c r="D393" s="224" t="s">
        <v>85</v>
      </c>
      <c r="E393" s="200" t="s">
        <v>826</v>
      </c>
      <c r="F393" s="316">
        <v>1.1999999999999999E-3</v>
      </c>
      <c r="G393" s="207">
        <f t="shared" si="69"/>
        <v>234649.99999999997</v>
      </c>
      <c r="H393" s="307">
        <f>4+6+2+3+2+21</f>
        <v>38</v>
      </c>
      <c r="I393" s="350"/>
      <c r="J393" s="350"/>
      <c r="K393" s="186">
        <f t="shared" si="70"/>
        <v>281.57999999999993</v>
      </c>
      <c r="L393" s="321" t="e">
        <f t="shared" si="71"/>
        <v>#REF!</v>
      </c>
      <c r="M393" s="450"/>
      <c r="N393" s="131" t="e">
        <f>IF(ISNA(MATCH(C393,#REF!,0)),"",INDEX(#REF!,MATCH(C393,#REF!,0)))</f>
        <v>#REF!</v>
      </c>
      <c r="O393" s="114" t="e">
        <f>SUMIF(#REF!,C393,#REF!)</f>
        <v>#REF!</v>
      </c>
      <c r="P393" s="114" t="s">
        <v>31</v>
      </c>
    </row>
    <row r="394" spans="1:16" ht="26" x14ac:dyDescent="0.3">
      <c r="A394" s="50"/>
      <c r="B394" s="134"/>
      <c r="C394" s="201" t="s">
        <v>1562</v>
      </c>
      <c r="D394" s="168" t="s">
        <v>1141</v>
      </c>
      <c r="E394" s="200" t="s">
        <v>969</v>
      </c>
      <c r="F394" s="316">
        <v>0.6</v>
      </c>
      <c r="G394" s="207">
        <f t="shared" si="69"/>
        <v>151867.94999999998</v>
      </c>
      <c r="H394" s="307">
        <f>1349+5654+2213+16+696+2371-2</f>
        <v>12297</v>
      </c>
      <c r="I394" s="350"/>
      <c r="J394" s="350"/>
      <c r="K394" s="186">
        <f t="shared" si="70"/>
        <v>91120.76999999999</v>
      </c>
      <c r="L394" s="321" t="e">
        <f t="shared" si="71"/>
        <v>#REF!</v>
      </c>
      <c r="M394" s="450"/>
      <c r="N394" s="131" t="e">
        <f>IF(ISNA(MATCH(C394,#REF!,0)),"",INDEX(#REF!,MATCH(C394,#REF!,0)))</f>
        <v>#REF!</v>
      </c>
      <c r="O394" s="114" t="e">
        <f>SUMIF(#REF!,C394,#REF!)</f>
        <v>#REF!</v>
      </c>
      <c r="P394" s="114" t="s">
        <v>31</v>
      </c>
    </row>
    <row r="395" spans="1:16" ht="26" x14ac:dyDescent="0.3">
      <c r="A395" s="50"/>
      <c r="B395" s="134"/>
      <c r="C395" s="201" t="s">
        <v>1563</v>
      </c>
      <c r="D395" s="58" t="s">
        <v>829</v>
      </c>
      <c r="E395" s="200" t="s">
        <v>720</v>
      </c>
      <c r="F395" s="316">
        <v>2.0019999999999998</v>
      </c>
      <c r="G395" s="207">
        <f t="shared" si="69"/>
        <v>236.88311688311688</v>
      </c>
      <c r="H395" s="307">
        <f>47+6+11</f>
        <v>64</v>
      </c>
      <c r="I395" s="350"/>
      <c r="J395" s="350"/>
      <c r="K395" s="186">
        <f t="shared" si="70"/>
        <v>474.23999999999995</v>
      </c>
      <c r="L395" s="321" t="e">
        <f t="shared" si="71"/>
        <v>#REF!</v>
      </c>
      <c r="M395" s="450"/>
      <c r="N395" s="131" t="e">
        <f>IF(ISNA(MATCH(C395,#REF!,0)),"",INDEX(#REF!,MATCH(C395,#REF!,0)))</f>
        <v>#REF!</v>
      </c>
      <c r="O395" s="114" t="e">
        <f>SUMIF(#REF!,C395,#REF!)</f>
        <v>#REF!</v>
      </c>
      <c r="P395" s="114" t="s">
        <v>31</v>
      </c>
    </row>
    <row r="396" spans="1:16" ht="39" x14ac:dyDescent="0.3">
      <c r="A396" s="50"/>
      <c r="B396" s="134"/>
      <c r="C396" s="201" t="s">
        <v>1564</v>
      </c>
      <c r="D396" s="168" t="s">
        <v>1142</v>
      </c>
      <c r="E396" s="200" t="s">
        <v>977</v>
      </c>
      <c r="F396" s="316">
        <v>2.002E-2</v>
      </c>
      <c r="G396" s="207">
        <f t="shared" si="69"/>
        <v>18506.493506493505</v>
      </c>
      <c r="H396" s="307">
        <f>15+35</f>
        <v>50</v>
      </c>
      <c r="I396" s="350"/>
      <c r="J396" s="350"/>
      <c r="K396" s="186">
        <f t="shared" si="70"/>
        <v>370.49999999999994</v>
      </c>
      <c r="L396" s="321" t="e">
        <f t="shared" si="71"/>
        <v>#REF!</v>
      </c>
      <c r="M396" s="450"/>
      <c r="N396" s="131" t="e">
        <f>IF(ISNA(MATCH(C396,#REF!,0)),"",INDEX(#REF!,MATCH(C396,#REF!,0)))</f>
        <v>#REF!</v>
      </c>
      <c r="O396" s="114" t="e">
        <f>SUMIF(#REF!,C396,#REF!)</f>
        <v>#REF!</v>
      </c>
      <c r="P396" s="114" t="s">
        <v>31</v>
      </c>
    </row>
    <row r="397" spans="1:16" ht="26" x14ac:dyDescent="0.3">
      <c r="A397" s="50"/>
      <c r="B397" s="141"/>
      <c r="C397" s="201" t="s">
        <v>1565</v>
      </c>
      <c r="D397" s="255" t="s">
        <v>1143</v>
      </c>
      <c r="E397" s="230" t="s">
        <v>970</v>
      </c>
      <c r="F397" s="316">
        <v>2</v>
      </c>
      <c r="G397" s="207">
        <f t="shared" si="69"/>
        <v>1822.86</v>
      </c>
      <c r="H397" s="307">
        <f>219+91+87+95</f>
        <v>492</v>
      </c>
      <c r="I397" s="350"/>
      <c r="J397" s="350"/>
      <c r="K397" s="186">
        <f t="shared" si="70"/>
        <v>3645.72</v>
      </c>
      <c r="L397" s="321" t="e">
        <f t="shared" si="71"/>
        <v>#REF!</v>
      </c>
      <c r="M397" s="450"/>
      <c r="N397" s="131" t="e">
        <f>IF(ISNA(MATCH(C397,#REF!,0)),"",INDEX(#REF!,MATCH(C397,#REF!,0)))</f>
        <v>#REF!</v>
      </c>
      <c r="O397" s="114" t="e">
        <f>SUMIF(#REF!,C397,#REF!)</f>
        <v>#REF!</v>
      </c>
      <c r="P397" s="114" t="s">
        <v>31</v>
      </c>
    </row>
    <row r="398" spans="1:16" ht="26" x14ac:dyDescent="0.3">
      <c r="A398" s="50"/>
      <c r="B398" s="151"/>
      <c r="C398" s="201" t="s">
        <v>1566</v>
      </c>
      <c r="D398" s="168" t="s">
        <v>1148</v>
      </c>
      <c r="E398" s="200" t="s">
        <v>970</v>
      </c>
      <c r="F398" s="202">
        <v>1</v>
      </c>
      <c r="G398" s="207">
        <f t="shared" si="69"/>
        <v>21681.66</v>
      </c>
      <c r="H398" s="307">
        <f>1075+659+2+26+146+508+273+95+86+56</f>
        <v>2926</v>
      </c>
      <c r="I398" s="350"/>
      <c r="J398" s="350"/>
      <c r="K398" s="186">
        <f t="shared" si="70"/>
        <v>21681.66</v>
      </c>
      <c r="L398" s="321" t="e">
        <f t="shared" si="71"/>
        <v>#REF!</v>
      </c>
      <c r="M398" s="450"/>
      <c r="N398" s="131" t="e">
        <f>IF(ISNA(MATCH(C398,#REF!,0)),"",INDEX(#REF!,MATCH(C398,#REF!,0)))</f>
        <v>#REF!</v>
      </c>
      <c r="O398" s="114" t="e">
        <f>SUMIF(#REF!,C398,#REF!)</f>
        <v>#REF!</v>
      </c>
      <c r="P398" s="114" t="s">
        <v>31</v>
      </c>
    </row>
    <row r="399" spans="1:16" s="23" customFormat="1" x14ac:dyDescent="0.3">
      <c r="A399" s="51"/>
      <c r="B399" s="125"/>
      <c r="C399" s="286" t="s">
        <v>1567</v>
      </c>
      <c r="D399" s="287" t="s">
        <v>1149</v>
      </c>
      <c r="E399" s="233"/>
      <c r="F399" s="234"/>
      <c r="G399" s="235"/>
      <c r="H399" s="301">
        <f>SUM(H400:H405)</f>
        <v>29466</v>
      </c>
      <c r="I399" s="343"/>
      <c r="J399" s="343"/>
      <c r="K399" s="236">
        <f>SUM(K400:K405)</f>
        <v>218343.06</v>
      </c>
      <c r="L399" s="236" t="e">
        <f>SUM(L400:L405)</f>
        <v>#REF!</v>
      </c>
      <c r="M399" s="449"/>
      <c r="N399" s="126" t="e">
        <f>IF(ISNA(MATCH(C399,#REF!,0)),"",INDEX(#REF!,MATCH(C399,#REF!,0)))</f>
        <v>#REF!</v>
      </c>
      <c r="O399" s="127" t="e">
        <f>SUMIF(#REF!,C399,#REF!)</f>
        <v>#REF!</v>
      </c>
      <c r="P399" s="127" t="s">
        <v>31</v>
      </c>
    </row>
    <row r="400" spans="1:16" ht="26" x14ac:dyDescent="0.3">
      <c r="A400" s="50"/>
      <c r="B400" s="134"/>
      <c r="C400" s="201" t="s">
        <v>1568</v>
      </c>
      <c r="D400" s="224" t="s">
        <v>84</v>
      </c>
      <c r="E400" s="200" t="s">
        <v>840</v>
      </c>
      <c r="F400" s="316">
        <v>1.0253999999999999E-2</v>
      </c>
      <c r="G400" s="207">
        <f t="shared" ref="G400:G405" si="72">K400/F400</f>
        <v>28183.148039789347</v>
      </c>
      <c r="H400" s="307">
        <v>39</v>
      </c>
      <c r="I400" s="350"/>
      <c r="J400" s="350"/>
      <c r="K400" s="186">
        <f t="shared" ref="K400:K405" si="73">H400*$C$4*$C$5</f>
        <v>288.98999999999995</v>
      </c>
      <c r="L400" s="321" t="e">
        <f t="shared" ref="L400:L405" si="74">IF(N400="поставка Заказчика",N400,K400)</f>
        <v>#REF!</v>
      </c>
      <c r="M400" s="450"/>
      <c r="N400" s="131" t="e">
        <f>IF(ISNA(MATCH(C400,#REF!,0)),"",INDEX(#REF!,MATCH(C400,#REF!,0)))</f>
        <v>#REF!</v>
      </c>
      <c r="O400" s="114" t="e">
        <f>SUMIF(#REF!,C400,#REF!)</f>
        <v>#REF!</v>
      </c>
      <c r="P400" s="114" t="s">
        <v>31</v>
      </c>
    </row>
    <row r="401" spans="1:16" ht="52" x14ac:dyDescent="0.3">
      <c r="A401" s="50"/>
      <c r="B401" s="134"/>
      <c r="C401" s="201" t="s">
        <v>1569</v>
      </c>
      <c r="D401" s="224" t="s">
        <v>85</v>
      </c>
      <c r="E401" s="200" t="s">
        <v>826</v>
      </c>
      <c r="F401" s="316">
        <v>3.1800000000000001E-3</v>
      </c>
      <c r="G401" s="207">
        <f t="shared" si="72"/>
        <v>221367.92452830187</v>
      </c>
      <c r="H401" s="307">
        <f>9+16+5+8+4+53</f>
        <v>95</v>
      </c>
      <c r="I401" s="350"/>
      <c r="J401" s="350"/>
      <c r="K401" s="186">
        <f t="shared" si="73"/>
        <v>703.94999999999993</v>
      </c>
      <c r="L401" s="321" t="e">
        <f t="shared" si="74"/>
        <v>#REF!</v>
      </c>
      <c r="M401" s="450"/>
      <c r="N401" s="131" t="e">
        <f>IF(ISNA(MATCH(C401,#REF!,0)),"",INDEX(#REF!,MATCH(C401,#REF!,0)))</f>
        <v>#REF!</v>
      </c>
      <c r="O401" s="114" t="e">
        <f>SUMIF(#REF!,C401,#REF!)</f>
        <v>#REF!</v>
      </c>
      <c r="P401" s="114" t="s">
        <v>31</v>
      </c>
    </row>
    <row r="402" spans="1:16" ht="26" x14ac:dyDescent="0.3">
      <c r="A402" s="50"/>
      <c r="B402" s="134"/>
      <c r="C402" s="201" t="s">
        <v>1570</v>
      </c>
      <c r="D402" s="168" t="s">
        <v>1141</v>
      </c>
      <c r="E402" s="200" t="s">
        <v>969</v>
      </c>
      <c r="F402" s="316">
        <v>1.37</v>
      </c>
      <c r="G402" s="207">
        <f t="shared" si="72"/>
        <v>143353.7518248175</v>
      </c>
      <c r="H402" s="307">
        <f>2896+12141+6259+5164+42+2</f>
        <v>26504</v>
      </c>
      <c r="I402" s="350"/>
      <c r="J402" s="350"/>
      <c r="K402" s="186">
        <f t="shared" si="73"/>
        <v>196394.63999999998</v>
      </c>
      <c r="L402" s="321" t="e">
        <f t="shared" si="74"/>
        <v>#REF!</v>
      </c>
      <c r="M402" s="450"/>
      <c r="N402" s="131" t="e">
        <f>IF(ISNA(MATCH(C402,#REF!,0)),"",INDEX(#REF!,MATCH(C402,#REF!,0)))</f>
        <v>#REF!</v>
      </c>
      <c r="O402" s="114" t="e">
        <f>SUMIF(#REF!,C402,#REF!)</f>
        <v>#REF!</v>
      </c>
      <c r="P402" s="114" t="s">
        <v>31</v>
      </c>
    </row>
    <row r="403" spans="1:16" ht="26" x14ac:dyDescent="0.3">
      <c r="A403" s="50"/>
      <c r="B403" s="134"/>
      <c r="C403" s="201" t="s">
        <v>1571</v>
      </c>
      <c r="D403" s="58" t="s">
        <v>829</v>
      </c>
      <c r="E403" s="200" t="s">
        <v>720</v>
      </c>
      <c r="F403" s="316">
        <v>5.2859999999999996</v>
      </c>
      <c r="G403" s="207">
        <f t="shared" si="72"/>
        <v>236.90692395005678</v>
      </c>
      <c r="H403" s="307">
        <f>125+16+28</f>
        <v>169</v>
      </c>
      <c r="I403" s="350"/>
      <c r="J403" s="350"/>
      <c r="K403" s="186">
        <f t="shared" si="73"/>
        <v>1252.29</v>
      </c>
      <c r="L403" s="321" t="e">
        <f t="shared" si="74"/>
        <v>#REF!</v>
      </c>
      <c r="M403" s="450"/>
      <c r="N403" s="131" t="e">
        <f>IF(ISNA(MATCH(C403,#REF!,0)),"",INDEX(#REF!,MATCH(C403,#REF!,0)))</f>
        <v>#REF!</v>
      </c>
      <c r="O403" s="114" t="e">
        <f>SUMIF(#REF!,C403,#REF!)</f>
        <v>#REF!</v>
      </c>
      <c r="P403" s="114" t="s">
        <v>31</v>
      </c>
    </row>
    <row r="404" spans="1:16" ht="39" x14ac:dyDescent="0.3">
      <c r="A404" s="50"/>
      <c r="B404" s="134"/>
      <c r="C404" s="201" t="s">
        <v>1572</v>
      </c>
      <c r="D404" s="168" t="s">
        <v>1142</v>
      </c>
      <c r="E404" s="200" t="s">
        <v>977</v>
      </c>
      <c r="F404" s="316">
        <v>5.2859999999999997E-2</v>
      </c>
      <c r="G404" s="207">
        <f t="shared" si="72"/>
        <v>18924.517593643584</v>
      </c>
      <c r="H404" s="307">
        <f>40+95</f>
        <v>135</v>
      </c>
      <c r="I404" s="350"/>
      <c r="J404" s="350"/>
      <c r="K404" s="186">
        <f t="shared" si="73"/>
        <v>1000.3499999999999</v>
      </c>
      <c r="L404" s="321" t="e">
        <f t="shared" si="74"/>
        <v>#REF!</v>
      </c>
      <c r="M404" s="450"/>
      <c r="N404" s="131" t="e">
        <f>IF(ISNA(MATCH(C404,#REF!,0)),"",INDEX(#REF!,MATCH(C404,#REF!,0)))</f>
        <v>#REF!</v>
      </c>
      <c r="O404" s="114" t="e">
        <f>SUMIF(#REF!,C404,#REF!)</f>
        <v>#REF!</v>
      </c>
      <c r="P404" s="114" t="s">
        <v>31</v>
      </c>
    </row>
    <row r="405" spans="1:16" ht="26" x14ac:dyDescent="0.3">
      <c r="A405" s="50"/>
      <c r="B405" s="152"/>
      <c r="C405" s="201" t="s">
        <v>1573</v>
      </c>
      <c r="D405" s="255" t="s">
        <v>1143</v>
      </c>
      <c r="E405" s="230" t="s">
        <v>970</v>
      </c>
      <c r="F405" s="316">
        <v>2</v>
      </c>
      <c r="G405" s="207">
        <f t="shared" si="72"/>
        <v>9351.4199999999983</v>
      </c>
      <c r="H405" s="243">
        <f>219+91+87+95+1016+543+189+172+112</f>
        <v>2524</v>
      </c>
      <c r="I405" s="354"/>
      <c r="J405" s="354"/>
      <c r="K405" s="186">
        <f t="shared" si="73"/>
        <v>18702.839999999997</v>
      </c>
      <c r="L405" s="321" t="e">
        <f t="shared" si="74"/>
        <v>#REF!</v>
      </c>
      <c r="M405" s="450"/>
      <c r="N405" s="131" t="e">
        <f>IF(ISNA(MATCH(C405,#REF!,0)),"",INDEX(#REF!,MATCH(C405,#REF!,0)))</f>
        <v>#REF!</v>
      </c>
      <c r="O405" s="114" t="e">
        <f>SUMIF(#REF!,C405,#REF!)</f>
        <v>#REF!</v>
      </c>
      <c r="P405" s="114" t="s">
        <v>31</v>
      </c>
    </row>
    <row r="406" spans="1:16" x14ac:dyDescent="0.3">
      <c r="A406" s="50"/>
      <c r="B406" s="128" t="s">
        <v>1151</v>
      </c>
      <c r="C406" s="213" t="s">
        <v>1574</v>
      </c>
      <c r="D406" s="60" t="s">
        <v>1150</v>
      </c>
      <c r="E406" s="214"/>
      <c r="F406" s="215"/>
      <c r="G406" s="211"/>
      <c r="H406" s="304">
        <f>H414+H447</f>
        <v>643088.09311740892</v>
      </c>
      <c r="I406" s="347"/>
      <c r="J406" s="347"/>
      <c r="K406" s="205">
        <f>K414+K447</f>
        <v>4765282.7699999996</v>
      </c>
      <c r="L406" s="205" t="e">
        <f>L414+L447</f>
        <v>#REF!</v>
      </c>
      <c r="M406" s="450" t="s">
        <v>1164</v>
      </c>
      <c r="N406" s="136" t="e">
        <f>IF(ISNA(MATCH(C406,#REF!,0)),"",INDEX(#REF!,MATCH(C406,#REF!,0)))</f>
        <v>#REF!</v>
      </c>
      <c r="O406" s="137" t="e">
        <f>SUMIF(#REF!,C406,#REF!)</f>
        <v>#REF!</v>
      </c>
      <c r="P406" s="130" t="s">
        <v>32</v>
      </c>
    </row>
    <row r="407" spans="1:16" ht="13.5" x14ac:dyDescent="0.3">
      <c r="A407" s="50"/>
      <c r="B407" s="153"/>
      <c r="C407" s="256"/>
      <c r="D407" s="142" t="s">
        <v>1707</v>
      </c>
      <c r="E407" s="257"/>
      <c r="F407" s="317"/>
      <c r="G407" s="240"/>
      <c r="H407" s="308"/>
      <c r="I407" s="352"/>
      <c r="J407" s="352"/>
      <c r="K407" s="241"/>
      <c r="L407" s="241" t="e">
        <f>K407-O407</f>
        <v>#REF!</v>
      </c>
      <c r="M407" s="450"/>
      <c r="N407" s="143" t="e">
        <f>IF(ISNA(MATCH(C407,#REF!,0)),"",INDEX(#REF!,MATCH(C407,#REF!,0)))</f>
        <v>#REF!</v>
      </c>
      <c r="O407" s="144" t="e">
        <f>SUMIF(#REF!,C407,#REF!)</f>
        <v>#REF!</v>
      </c>
      <c r="P407" s="144" t="s">
        <v>32</v>
      </c>
    </row>
    <row r="408" spans="1:16" s="67" customFormat="1" ht="78" x14ac:dyDescent="0.3">
      <c r="A408" s="66"/>
      <c r="B408" s="591"/>
      <c r="C408" s="592" t="s">
        <v>561</v>
      </c>
      <c r="D408" s="163" t="s">
        <v>65</v>
      </c>
      <c r="E408" s="275" t="s">
        <v>970</v>
      </c>
      <c r="F408" s="317">
        <v>1</v>
      </c>
      <c r="G408" s="240" t="str">
        <f t="shared" ref="G408:G413" si="75">IF(ISERR(L408/F408),"",K408/F408)</f>
        <v/>
      </c>
      <c r="H408" s="258">
        <f>36816*1.0997-1</f>
        <v>40485.555199999995</v>
      </c>
      <c r="I408" s="359">
        <f t="shared" ref="I408:I413" si="76">H408/1.0997</f>
        <v>36815.090661089387</v>
      </c>
      <c r="J408" s="359">
        <f t="shared" ref="J408:J413" si="77">I408/F408</f>
        <v>36815.090661089387</v>
      </c>
      <c r="K408" s="322">
        <f t="shared" ref="K408:K413" si="78">H408*$C$6</f>
        <v>136031.46547199998</v>
      </c>
      <c r="L408" s="323" t="e">
        <f>IF(N408="Заказчика",N408,INDEX(#REF!,MATCH(C408,#REF!,0)))</f>
        <v>#REF!</v>
      </c>
      <c r="M408" s="460"/>
      <c r="N408" s="145" t="e">
        <f>IF(ISNA(MATCH(C408,#REF!,0)),"",INDEX(#REF!,MATCH(C408,#REF!,0)))</f>
        <v>#REF!</v>
      </c>
      <c r="O408" s="146" t="e">
        <f>SUMIF(#REF!,C408,#REF!)</f>
        <v>#REF!</v>
      </c>
      <c r="P408" s="146" t="s">
        <v>32</v>
      </c>
    </row>
    <row r="409" spans="1:16" s="67" customFormat="1" ht="26" x14ac:dyDescent="0.3">
      <c r="A409" s="66"/>
      <c r="B409" s="591"/>
      <c r="C409" s="592" t="s">
        <v>562</v>
      </c>
      <c r="D409" s="163" t="s">
        <v>66</v>
      </c>
      <c r="E409" s="275" t="s">
        <v>970</v>
      </c>
      <c r="F409" s="317">
        <v>3</v>
      </c>
      <c r="G409" s="240" t="str">
        <f t="shared" si="75"/>
        <v/>
      </c>
      <c r="H409" s="246">
        <f>3039*1.0997</f>
        <v>3341.9882999999995</v>
      </c>
      <c r="I409" s="355">
        <f t="shared" si="76"/>
        <v>3039</v>
      </c>
      <c r="J409" s="355">
        <f t="shared" si="77"/>
        <v>1013</v>
      </c>
      <c r="K409" s="322">
        <f t="shared" si="78"/>
        <v>11229.080687999998</v>
      </c>
      <c r="L409" s="323" t="e">
        <f>IF(N409="Заказчика",N409,INDEX(#REF!,MATCH(C409,#REF!,0)))</f>
        <v>#REF!</v>
      </c>
      <c r="M409" s="460"/>
      <c r="N409" s="145" t="e">
        <f>IF(ISNA(MATCH(C409,#REF!,0)),"",INDEX(#REF!,MATCH(C409,#REF!,0)))</f>
        <v>#REF!</v>
      </c>
      <c r="O409" s="146" t="e">
        <f>SUMIF(#REF!,C409,#REF!)</f>
        <v>#REF!</v>
      </c>
      <c r="P409" s="146" t="s">
        <v>32</v>
      </c>
    </row>
    <row r="410" spans="1:16" s="67" customFormat="1" ht="52" x14ac:dyDescent="0.3">
      <c r="A410" s="66"/>
      <c r="B410" s="591"/>
      <c r="C410" s="592" t="s">
        <v>563</v>
      </c>
      <c r="D410" s="163" t="s">
        <v>67</v>
      </c>
      <c r="E410" s="275" t="s">
        <v>970</v>
      </c>
      <c r="F410" s="317">
        <v>1</v>
      </c>
      <c r="G410" s="240" t="str">
        <f t="shared" si="75"/>
        <v/>
      </c>
      <c r="H410" s="246">
        <f>93585*1.0997</f>
        <v>102915.42449999999</v>
      </c>
      <c r="I410" s="355">
        <f t="shared" si="76"/>
        <v>93585</v>
      </c>
      <c r="J410" s="355">
        <f t="shared" si="77"/>
        <v>93585</v>
      </c>
      <c r="K410" s="322">
        <f t="shared" si="78"/>
        <v>345795.82631999999</v>
      </c>
      <c r="L410" s="323" t="e">
        <f>IF(N410="Заказчика",N410,INDEX(#REF!,MATCH(C410,#REF!,0)))</f>
        <v>#REF!</v>
      </c>
      <c r="M410" s="460"/>
      <c r="N410" s="145" t="e">
        <f>IF(ISNA(MATCH(C410,#REF!,0)),"",INDEX(#REF!,MATCH(C410,#REF!,0)))</f>
        <v>#REF!</v>
      </c>
      <c r="O410" s="146" t="e">
        <f>SUMIF(#REF!,C410,#REF!)</f>
        <v>#REF!</v>
      </c>
      <c r="P410" s="146" t="s">
        <v>32</v>
      </c>
    </row>
    <row r="411" spans="1:16" s="67" customFormat="1" ht="52" x14ac:dyDescent="0.3">
      <c r="A411" s="66"/>
      <c r="B411" s="591"/>
      <c r="C411" s="592" t="s">
        <v>564</v>
      </c>
      <c r="D411" s="163" t="s">
        <v>68</v>
      </c>
      <c r="E411" s="275" t="s">
        <v>970</v>
      </c>
      <c r="F411" s="317">
        <v>1</v>
      </c>
      <c r="G411" s="240" t="str">
        <f t="shared" si="75"/>
        <v/>
      </c>
      <c r="H411" s="246">
        <f>197974*1.0997-1</f>
        <v>217711.00779999999</v>
      </c>
      <c r="I411" s="355">
        <f t="shared" si="76"/>
        <v>197973.0906610894</v>
      </c>
      <c r="J411" s="355">
        <f t="shared" si="77"/>
        <v>197973.0906610894</v>
      </c>
      <c r="K411" s="322">
        <f t="shared" si="78"/>
        <v>731508.98620799999</v>
      </c>
      <c r="L411" s="323" t="e">
        <f>IF(N411="Заказчика",N411,INDEX(#REF!,MATCH(C411,#REF!,0)))</f>
        <v>#REF!</v>
      </c>
      <c r="M411" s="460"/>
      <c r="N411" s="145" t="e">
        <f>IF(ISNA(MATCH(C411,#REF!,0)),"",INDEX(#REF!,MATCH(C411,#REF!,0)))</f>
        <v>#REF!</v>
      </c>
      <c r="O411" s="146" t="e">
        <f>SUMIF(#REF!,C411,#REF!)</f>
        <v>#REF!</v>
      </c>
      <c r="P411" s="146" t="s">
        <v>32</v>
      </c>
    </row>
    <row r="412" spans="1:16" s="67" customFormat="1" ht="39" x14ac:dyDescent="0.3">
      <c r="A412" s="66"/>
      <c r="B412" s="591"/>
      <c r="C412" s="592" t="s">
        <v>565</v>
      </c>
      <c r="D412" s="163" t="s">
        <v>69</v>
      </c>
      <c r="E412" s="275" t="s">
        <v>970</v>
      </c>
      <c r="F412" s="317">
        <v>6</v>
      </c>
      <c r="G412" s="240" t="str">
        <f t="shared" si="75"/>
        <v/>
      </c>
      <c r="H412" s="246">
        <f>938975*1.0997</f>
        <v>1032590.8074999999</v>
      </c>
      <c r="I412" s="355">
        <f t="shared" si="76"/>
        <v>938975</v>
      </c>
      <c r="J412" s="355">
        <f t="shared" si="77"/>
        <v>156495.83333333334</v>
      </c>
      <c r="K412" s="322">
        <f t="shared" si="78"/>
        <v>3469505.1131999996</v>
      </c>
      <c r="L412" s="323" t="e">
        <f>IF(N412="Заказчика",N412,INDEX(#REF!,MATCH(C412,#REF!,0)))</f>
        <v>#REF!</v>
      </c>
      <c r="M412" s="460"/>
      <c r="N412" s="145" t="e">
        <f>IF(ISNA(MATCH(C412,#REF!,0)),"",INDEX(#REF!,MATCH(C412,#REF!,0)))</f>
        <v>#REF!</v>
      </c>
      <c r="O412" s="146" t="e">
        <f>SUMIF(#REF!,C412,#REF!)</f>
        <v>#REF!</v>
      </c>
      <c r="P412" s="146" t="s">
        <v>32</v>
      </c>
    </row>
    <row r="413" spans="1:16" s="67" customFormat="1" x14ac:dyDescent="0.3">
      <c r="A413" s="66"/>
      <c r="B413" s="591"/>
      <c r="C413" s="592" t="s">
        <v>566</v>
      </c>
      <c r="D413" s="163" t="s">
        <v>70</v>
      </c>
      <c r="E413" s="275" t="s">
        <v>970</v>
      </c>
      <c r="F413" s="317">
        <v>2</v>
      </c>
      <c r="G413" s="240" t="str">
        <f t="shared" si="75"/>
        <v/>
      </c>
      <c r="H413" s="246">
        <f>27321*1.0997</f>
        <v>30044.903699999999</v>
      </c>
      <c r="I413" s="355">
        <f t="shared" si="76"/>
        <v>27321</v>
      </c>
      <c r="J413" s="355">
        <f t="shared" si="77"/>
        <v>13660.5</v>
      </c>
      <c r="K413" s="322">
        <f t="shared" si="78"/>
        <v>100950.87643199999</v>
      </c>
      <c r="L413" s="323" t="e">
        <f>IF(N413="Заказчика",N413,INDEX(#REF!,MATCH(C413,#REF!,0)))</f>
        <v>#REF!</v>
      </c>
      <c r="M413" s="460"/>
      <c r="N413" s="145" t="e">
        <f>IF(ISNA(MATCH(C413,#REF!,0)),"",INDEX(#REF!,MATCH(C413,#REF!,0)))</f>
        <v>#REF!</v>
      </c>
      <c r="O413" s="146" t="e">
        <f>SUMIF(#REF!,C413,#REF!)</f>
        <v>#REF!</v>
      </c>
      <c r="P413" s="146" t="s">
        <v>32</v>
      </c>
    </row>
    <row r="414" spans="1:16" s="23" customFormat="1" x14ac:dyDescent="0.3">
      <c r="A414" s="51"/>
      <c r="B414" s="125"/>
      <c r="C414" s="286" t="s">
        <v>1196</v>
      </c>
      <c r="D414" s="287" t="s">
        <v>721</v>
      </c>
      <c r="E414" s="233"/>
      <c r="F414" s="234"/>
      <c r="G414" s="235"/>
      <c r="H414" s="301">
        <f>SUM(H415:H446)</f>
        <v>474220.09311740892</v>
      </c>
      <c r="I414" s="343"/>
      <c r="J414" s="343"/>
      <c r="K414" s="236">
        <f>SUM(K415:K446)</f>
        <v>3513970.8899999992</v>
      </c>
      <c r="L414" s="236" t="e">
        <f>SUM(L415:L446)</f>
        <v>#REF!</v>
      </c>
      <c r="M414" s="449"/>
      <c r="N414" s="126" t="e">
        <f>IF(ISNA(MATCH(C414,#REF!,0)),"",INDEX(#REF!,MATCH(C414,#REF!,0)))</f>
        <v>#REF!</v>
      </c>
      <c r="O414" s="127" t="e">
        <f>SUMIF(#REF!,C414,#REF!)</f>
        <v>#REF!</v>
      </c>
      <c r="P414" s="127" t="s">
        <v>32</v>
      </c>
    </row>
    <row r="415" spans="1:16" s="30" customFormat="1" ht="39" x14ac:dyDescent="0.3">
      <c r="A415" s="50"/>
      <c r="B415" s="155"/>
      <c r="C415" s="201" t="s">
        <v>1197</v>
      </c>
      <c r="D415" s="58" t="s">
        <v>71</v>
      </c>
      <c r="E415" s="200" t="s">
        <v>970</v>
      </c>
      <c r="F415" s="202">
        <v>1</v>
      </c>
      <c r="G415" s="207">
        <f t="shared" ref="G415:G446" si="79">K415/F415</f>
        <v>6424.4699999999993</v>
      </c>
      <c r="H415" s="243">
        <v>867</v>
      </c>
      <c r="I415" s="354"/>
      <c r="J415" s="354"/>
      <c r="K415" s="186">
        <f t="shared" ref="K415:K446" si="80">H415*$C$4*$C$5</f>
        <v>6424.4699999999993</v>
      </c>
      <c r="L415" s="321" t="e">
        <f t="shared" ref="L415:L446" si="81">IF(N415="поставка Заказчика",N415,K415)</f>
        <v>#REF!</v>
      </c>
      <c r="M415" s="461"/>
      <c r="N415" s="131" t="e">
        <f>IF(ISNA(MATCH(C415,#REF!,0)),"",INDEX(#REF!,MATCH(C415,#REF!,0)))</f>
        <v>#REF!</v>
      </c>
      <c r="O415" s="114" t="e">
        <f>SUMIF(#REF!,C415,#REF!)</f>
        <v>#REF!</v>
      </c>
      <c r="P415" s="114" t="s">
        <v>32</v>
      </c>
    </row>
    <row r="416" spans="1:16" s="30" customFormat="1" ht="26" x14ac:dyDescent="0.3">
      <c r="A416" s="50"/>
      <c r="B416" s="155"/>
      <c r="C416" s="201" t="s">
        <v>1198</v>
      </c>
      <c r="D416" s="58" t="s">
        <v>72</v>
      </c>
      <c r="E416" s="200" t="s">
        <v>970</v>
      </c>
      <c r="F416" s="202">
        <v>3</v>
      </c>
      <c r="G416" s="207">
        <f t="shared" si="79"/>
        <v>6925.88</v>
      </c>
      <c r="H416" s="243">
        <f>2806-2</f>
        <v>2804</v>
      </c>
      <c r="I416" s="354"/>
      <c r="J416" s="354"/>
      <c r="K416" s="186">
        <f t="shared" si="80"/>
        <v>20777.64</v>
      </c>
      <c r="L416" s="321" t="e">
        <f t="shared" si="81"/>
        <v>#REF!</v>
      </c>
      <c r="M416" s="461"/>
      <c r="N416" s="131" t="e">
        <f>IF(ISNA(MATCH(C416,#REF!,0)),"",INDEX(#REF!,MATCH(C416,#REF!,0)))</f>
        <v>#REF!</v>
      </c>
      <c r="O416" s="114" t="e">
        <f>SUMIF(#REF!,C416,#REF!)</f>
        <v>#REF!</v>
      </c>
      <c r="P416" s="114" t="s">
        <v>32</v>
      </c>
    </row>
    <row r="417" spans="1:16" s="30" customFormat="1" ht="26" x14ac:dyDescent="0.3">
      <c r="A417" s="50"/>
      <c r="B417" s="155"/>
      <c r="C417" s="201" t="s">
        <v>1199</v>
      </c>
      <c r="D417" s="58" t="s">
        <v>73</v>
      </c>
      <c r="E417" s="200" t="s">
        <v>970</v>
      </c>
      <c r="F417" s="202">
        <v>1</v>
      </c>
      <c r="G417" s="207">
        <f t="shared" si="79"/>
        <v>5298.15</v>
      </c>
      <c r="H417" s="243">
        <v>715</v>
      </c>
      <c r="I417" s="354"/>
      <c r="J417" s="354"/>
      <c r="K417" s="186">
        <f t="shared" si="80"/>
        <v>5298.15</v>
      </c>
      <c r="L417" s="321" t="e">
        <f t="shared" si="81"/>
        <v>#REF!</v>
      </c>
      <c r="M417" s="461"/>
      <c r="N417" s="131" t="e">
        <f>IF(ISNA(MATCH(C417,#REF!,0)),"",INDEX(#REF!,MATCH(C417,#REF!,0)))</f>
        <v>#REF!</v>
      </c>
      <c r="O417" s="114" t="e">
        <f>SUMIF(#REF!,C417,#REF!)</f>
        <v>#REF!</v>
      </c>
      <c r="P417" s="114" t="s">
        <v>32</v>
      </c>
    </row>
    <row r="418" spans="1:16" s="30" customFormat="1" ht="26" x14ac:dyDescent="0.3">
      <c r="A418" s="50"/>
      <c r="B418" s="155"/>
      <c r="C418" s="201" t="s">
        <v>1200</v>
      </c>
      <c r="D418" s="58" t="s">
        <v>73</v>
      </c>
      <c r="E418" s="200" t="s">
        <v>970</v>
      </c>
      <c r="F418" s="202">
        <v>1</v>
      </c>
      <c r="G418" s="207">
        <f t="shared" si="79"/>
        <v>8558.5499999999993</v>
      </c>
      <c r="H418" s="243">
        <v>1155</v>
      </c>
      <c r="I418" s="354"/>
      <c r="J418" s="354"/>
      <c r="K418" s="186">
        <f t="shared" si="80"/>
        <v>8558.5499999999993</v>
      </c>
      <c r="L418" s="321" t="e">
        <f t="shared" si="81"/>
        <v>#REF!</v>
      </c>
      <c r="M418" s="461"/>
      <c r="N418" s="131" t="e">
        <f>IF(ISNA(MATCH(C418,#REF!,0)),"",INDEX(#REF!,MATCH(C418,#REF!,0)))</f>
        <v>#REF!</v>
      </c>
      <c r="O418" s="114" t="e">
        <f>SUMIF(#REF!,C418,#REF!)</f>
        <v>#REF!</v>
      </c>
      <c r="P418" s="114" t="s">
        <v>32</v>
      </c>
    </row>
    <row r="419" spans="1:16" s="30" customFormat="1" ht="26" x14ac:dyDescent="0.3">
      <c r="A419" s="50"/>
      <c r="B419" s="155"/>
      <c r="C419" s="201" t="s">
        <v>1201</v>
      </c>
      <c r="D419" s="58" t="s">
        <v>74</v>
      </c>
      <c r="E419" s="200" t="s">
        <v>970</v>
      </c>
      <c r="F419" s="202">
        <v>6</v>
      </c>
      <c r="G419" s="207">
        <f t="shared" si="79"/>
        <v>6434.3499999999995</v>
      </c>
      <c r="H419" s="243">
        <v>5210</v>
      </c>
      <c r="I419" s="354"/>
      <c r="J419" s="354"/>
      <c r="K419" s="186">
        <f t="shared" si="80"/>
        <v>38606.1</v>
      </c>
      <c r="L419" s="321" t="e">
        <f t="shared" si="81"/>
        <v>#REF!</v>
      </c>
      <c r="M419" s="461"/>
      <c r="N419" s="131" t="e">
        <f>IF(ISNA(MATCH(C419,#REF!,0)),"",INDEX(#REF!,MATCH(C419,#REF!,0)))</f>
        <v>#REF!</v>
      </c>
      <c r="O419" s="114" t="e">
        <f>SUMIF(#REF!,C419,#REF!)</f>
        <v>#REF!</v>
      </c>
      <c r="P419" s="114" t="s">
        <v>32</v>
      </c>
    </row>
    <row r="420" spans="1:16" s="30" customFormat="1" x14ac:dyDescent="0.3">
      <c r="A420" s="50"/>
      <c r="B420" s="155"/>
      <c r="C420" s="201" t="s">
        <v>1202</v>
      </c>
      <c r="D420" s="58" t="s">
        <v>75</v>
      </c>
      <c r="E420" s="200" t="s">
        <v>970</v>
      </c>
      <c r="F420" s="202">
        <v>2</v>
      </c>
      <c r="G420" s="207">
        <f t="shared" si="79"/>
        <v>2826.915</v>
      </c>
      <c r="H420" s="243">
        <v>763</v>
      </c>
      <c r="I420" s="354"/>
      <c r="J420" s="354"/>
      <c r="K420" s="186">
        <f t="shared" si="80"/>
        <v>5653.83</v>
      </c>
      <c r="L420" s="321" t="e">
        <f t="shared" si="81"/>
        <v>#REF!</v>
      </c>
      <c r="M420" s="461"/>
      <c r="N420" s="131" t="e">
        <f>IF(ISNA(MATCH(C420,#REF!,0)),"",INDEX(#REF!,MATCH(C420,#REF!,0)))</f>
        <v>#REF!</v>
      </c>
      <c r="O420" s="114" t="e">
        <f>SUMIF(#REF!,C420,#REF!)</f>
        <v>#REF!</v>
      </c>
      <c r="P420" s="114" t="s">
        <v>32</v>
      </c>
    </row>
    <row r="421" spans="1:16" s="30" customFormat="1" ht="39" x14ac:dyDescent="0.3">
      <c r="A421" s="50"/>
      <c r="B421" s="155"/>
      <c r="C421" s="201" t="s">
        <v>118</v>
      </c>
      <c r="D421" s="58" t="s">
        <v>76</v>
      </c>
      <c r="E421" s="200" t="s">
        <v>970</v>
      </c>
      <c r="F421" s="202">
        <v>3</v>
      </c>
      <c r="G421" s="207">
        <f t="shared" si="79"/>
        <v>8768.4999999999982</v>
      </c>
      <c r="H421" s="243">
        <f>2797+753</f>
        <v>3550</v>
      </c>
      <c r="I421" s="354"/>
      <c r="J421" s="354"/>
      <c r="K421" s="186">
        <f t="shared" si="80"/>
        <v>26305.499999999996</v>
      </c>
      <c r="L421" s="321" t="e">
        <f t="shared" si="81"/>
        <v>#REF!</v>
      </c>
      <c r="M421" s="461"/>
      <c r="N421" s="131" t="e">
        <f>IF(ISNA(MATCH(C421,#REF!,0)),"",INDEX(#REF!,MATCH(C421,#REF!,0)))</f>
        <v>#REF!</v>
      </c>
      <c r="O421" s="114" t="e">
        <f>SUMIF(#REF!,C421,#REF!)</f>
        <v>#REF!</v>
      </c>
      <c r="P421" s="114" t="s">
        <v>32</v>
      </c>
    </row>
    <row r="422" spans="1:16" s="30" customFormat="1" ht="26" x14ac:dyDescent="0.3">
      <c r="A422" s="50"/>
      <c r="B422" s="155"/>
      <c r="C422" s="201" t="s">
        <v>119</v>
      </c>
      <c r="D422" s="58" t="s">
        <v>77</v>
      </c>
      <c r="E422" s="200" t="s">
        <v>970</v>
      </c>
      <c r="F422" s="202">
        <v>1</v>
      </c>
      <c r="G422" s="207">
        <f t="shared" si="79"/>
        <v>135557.67000000001</v>
      </c>
      <c r="H422" s="243">
        <f>УточСтоимОборМат!I21+251</f>
        <v>18293.882591093123</v>
      </c>
      <c r="I422" s="354"/>
      <c r="J422" s="354"/>
      <c r="K422" s="186">
        <f t="shared" si="80"/>
        <v>135557.67000000001</v>
      </c>
      <c r="L422" s="321" t="e">
        <f t="shared" si="81"/>
        <v>#REF!</v>
      </c>
      <c r="M422" s="461"/>
      <c r="N422" s="553" t="e">
        <f>IF(ISNA(MATCH(C422,#REF!,0)),"",INDEX(#REF!,MATCH(C422,#REF!,0)))</f>
        <v>#REF!</v>
      </c>
      <c r="O422" s="114" t="e">
        <f>SUMIF(#REF!,C422,#REF!)</f>
        <v>#REF!</v>
      </c>
      <c r="P422" s="114" t="s">
        <v>32</v>
      </c>
    </row>
    <row r="423" spans="1:16" ht="65" x14ac:dyDescent="0.3">
      <c r="A423" s="50"/>
      <c r="B423" s="154"/>
      <c r="C423" s="201" t="s">
        <v>1181</v>
      </c>
      <c r="D423" s="182" t="s">
        <v>78</v>
      </c>
      <c r="E423" s="200" t="s">
        <v>970</v>
      </c>
      <c r="F423" s="316">
        <v>8</v>
      </c>
      <c r="G423" s="207">
        <f t="shared" si="79"/>
        <v>13635.326249999998</v>
      </c>
      <c r="H423" s="243">
        <f>13450+1271</f>
        <v>14721</v>
      </c>
      <c r="I423" s="354"/>
      <c r="J423" s="354"/>
      <c r="K423" s="186">
        <f t="shared" si="80"/>
        <v>109082.60999999999</v>
      </c>
      <c r="L423" s="321" t="e">
        <f t="shared" si="81"/>
        <v>#REF!</v>
      </c>
      <c r="M423" s="450"/>
      <c r="N423" s="131" t="e">
        <f>IF(ISNA(MATCH(C423,#REF!,0)),"",INDEX(#REF!,MATCH(C423,#REF!,0)))</f>
        <v>#REF!</v>
      </c>
      <c r="O423" s="114" t="e">
        <f>SUMIF(#REF!,C423,#REF!)</f>
        <v>#REF!</v>
      </c>
      <c r="P423" s="114" t="s">
        <v>32</v>
      </c>
    </row>
    <row r="424" spans="1:16" ht="65" x14ac:dyDescent="0.3">
      <c r="A424" s="50"/>
      <c r="B424" s="154"/>
      <c r="C424" s="201" t="s">
        <v>1182</v>
      </c>
      <c r="D424" s="182" t="s">
        <v>80</v>
      </c>
      <c r="E424" s="200" t="s">
        <v>970</v>
      </c>
      <c r="F424" s="316">
        <v>1</v>
      </c>
      <c r="G424" s="207">
        <f t="shared" si="79"/>
        <v>18184.14</v>
      </c>
      <c r="H424" s="243">
        <f>2216+238</f>
        <v>2454</v>
      </c>
      <c r="I424" s="354"/>
      <c r="J424" s="354"/>
      <c r="K424" s="186">
        <f t="shared" si="80"/>
        <v>18184.14</v>
      </c>
      <c r="L424" s="321" t="e">
        <f t="shared" si="81"/>
        <v>#REF!</v>
      </c>
      <c r="M424" s="450"/>
      <c r="N424" s="131" t="e">
        <f>IF(ISNA(MATCH(C424,#REF!,0)),"",INDEX(#REF!,MATCH(C424,#REF!,0)))</f>
        <v>#REF!</v>
      </c>
      <c r="O424" s="114" t="e">
        <f>SUMIF(#REF!,C424,#REF!)</f>
        <v>#REF!</v>
      </c>
      <c r="P424" s="114" t="s">
        <v>32</v>
      </c>
    </row>
    <row r="425" spans="1:16" ht="65" x14ac:dyDescent="0.3">
      <c r="A425" s="50"/>
      <c r="B425" s="154"/>
      <c r="C425" s="201" t="s">
        <v>1183</v>
      </c>
      <c r="D425" s="182" t="s">
        <v>723</v>
      </c>
      <c r="E425" s="200" t="s">
        <v>970</v>
      </c>
      <c r="F425" s="316">
        <v>3</v>
      </c>
      <c r="G425" s="207">
        <f t="shared" si="79"/>
        <v>23709.53</v>
      </c>
      <c r="H425" s="243">
        <f>8846+753</f>
        <v>9599</v>
      </c>
      <c r="I425" s="354"/>
      <c r="J425" s="354"/>
      <c r="K425" s="186">
        <f t="shared" si="80"/>
        <v>71128.59</v>
      </c>
      <c r="L425" s="321" t="e">
        <f t="shared" si="81"/>
        <v>#REF!</v>
      </c>
      <c r="M425" s="450"/>
      <c r="N425" s="131" t="e">
        <f>IF(ISNA(MATCH(C425,#REF!,0)),"",INDEX(#REF!,MATCH(C425,#REF!,0)))</f>
        <v>#REF!</v>
      </c>
      <c r="O425" s="114" t="e">
        <f>SUMIF(#REF!,C425,#REF!)</f>
        <v>#REF!</v>
      </c>
      <c r="P425" s="114" t="s">
        <v>32</v>
      </c>
    </row>
    <row r="426" spans="1:16" ht="39" x14ac:dyDescent="0.3">
      <c r="A426" s="50"/>
      <c r="B426" s="154"/>
      <c r="C426" s="201" t="s">
        <v>1184</v>
      </c>
      <c r="D426" s="58" t="s">
        <v>725</v>
      </c>
      <c r="E426" s="200" t="s">
        <v>970</v>
      </c>
      <c r="F426" s="316">
        <v>7</v>
      </c>
      <c r="G426" s="207">
        <f t="shared" si="79"/>
        <v>68342.112857142856</v>
      </c>
      <c r="H426" s="243">
        <f>УточСтоимОборМат!I22+1755</f>
        <v>64560.700404858304</v>
      </c>
      <c r="I426" s="354"/>
      <c r="J426" s="354"/>
      <c r="K426" s="186">
        <f t="shared" si="80"/>
        <v>478394.79</v>
      </c>
      <c r="L426" s="321" t="e">
        <f t="shared" si="81"/>
        <v>#REF!</v>
      </c>
      <c r="M426" s="450"/>
      <c r="N426" s="553" t="e">
        <f>IF(ISNA(MATCH(C426,#REF!,0)),"",INDEX(#REF!,MATCH(C426,#REF!,0)))</f>
        <v>#REF!</v>
      </c>
      <c r="O426" s="114" t="e">
        <f>SUMIF(#REF!,C426,#REF!)</f>
        <v>#REF!</v>
      </c>
      <c r="P426" s="114" t="s">
        <v>32</v>
      </c>
    </row>
    <row r="427" spans="1:16" ht="39" x14ac:dyDescent="0.3">
      <c r="A427" s="50"/>
      <c r="B427" s="154"/>
      <c r="C427" s="201" t="s">
        <v>1185</v>
      </c>
      <c r="D427" s="58" t="s">
        <v>728</v>
      </c>
      <c r="E427" s="259" t="s">
        <v>970</v>
      </c>
      <c r="F427" s="316">
        <v>3</v>
      </c>
      <c r="G427" s="207">
        <f t="shared" si="79"/>
        <v>102441.8</v>
      </c>
      <c r="H427" s="243">
        <f>УточСтоимОборМат!I23+1100</f>
        <v>41474.412955465596</v>
      </c>
      <c r="I427" s="354"/>
      <c r="J427" s="354"/>
      <c r="K427" s="186">
        <f t="shared" si="80"/>
        <v>307325.40000000002</v>
      </c>
      <c r="L427" s="321" t="e">
        <f t="shared" si="81"/>
        <v>#REF!</v>
      </c>
      <c r="M427" s="450"/>
      <c r="N427" s="553" t="e">
        <f>IF(ISNA(MATCH(C427,#REF!,0)),"",INDEX(#REF!,MATCH(C427,#REF!,0)))</f>
        <v>#REF!</v>
      </c>
      <c r="O427" s="114" t="e">
        <f>SUMIF(#REF!,C427,#REF!)</f>
        <v>#REF!</v>
      </c>
      <c r="P427" s="114" t="s">
        <v>32</v>
      </c>
    </row>
    <row r="428" spans="1:16" ht="39" x14ac:dyDescent="0.3">
      <c r="A428" s="50"/>
      <c r="B428" s="154"/>
      <c r="C428" s="201" t="s">
        <v>1186</v>
      </c>
      <c r="D428" s="58" t="s">
        <v>692</v>
      </c>
      <c r="E428" s="259" t="s">
        <v>970</v>
      </c>
      <c r="F428" s="316">
        <v>3</v>
      </c>
      <c r="G428" s="207">
        <f t="shared" si="79"/>
        <v>136786.37</v>
      </c>
      <c r="H428" s="243">
        <f>УточСтоимОборМат!I24+1547</f>
        <v>55379.097165991909</v>
      </c>
      <c r="I428" s="354"/>
      <c r="J428" s="354"/>
      <c r="K428" s="186">
        <f t="shared" si="80"/>
        <v>410359.11</v>
      </c>
      <c r="L428" s="321" t="e">
        <f t="shared" si="81"/>
        <v>#REF!</v>
      </c>
      <c r="M428" s="450"/>
      <c r="N428" s="553" t="e">
        <f>IF(ISNA(MATCH(C428,#REF!,0)),"",INDEX(#REF!,MATCH(C428,#REF!,0)))</f>
        <v>#REF!</v>
      </c>
      <c r="O428" s="114" t="e">
        <f>SUMIF(#REF!,C428,#REF!)</f>
        <v>#REF!</v>
      </c>
      <c r="P428" s="114" t="s">
        <v>32</v>
      </c>
    </row>
    <row r="429" spans="1:16" ht="39" x14ac:dyDescent="0.3">
      <c r="A429" s="50"/>
      <c r="B429" s="154"/>
      <c r="C429" s="201" t="s">
        <v>1187</v>
      </c>
      <c r="D429" s="182" t="s">
        <v>693</v>
      </c>
      <c r="E429" s="259" t="s">
        <v>970</v>
      </c>
      <c r="F429" s="316">
        <v>7</v>
      </c>
      <c r="G429" s="207">
        <f t="shared" si="79"/>
        <v>20772.347142857143</v>
      </c>
      <c r="H429" s="243">
        <f>16700+2923</f>
        <v>19623</v>
      </c>
      <c r="I429" s="354"/>
      <c r="J429" s="354"/>
      <c r="K429" s="186">
        <f t="shared" si="80"/>
        <v>145406.43</v>
      </c>
      <c r="L429" s="321" t="e">
        <f t="shared" si="81"/>
        <v>#REF!</v>
      </c>
      <c r="M429" s="450"/>
      <c r="N429" s="131" t="e">
        <f>IF(ISNA(MATCH(C429,#REF!,0)),"",INDEX(#REF!,MATCH(C429,#REF!,0)))</f>
        <v>#REF!</v>
      </c>
      <c r="O429" s="114" t="e">
        <f>SUMIF(#REF!,C429,#REF!)</f>
        <v>#REF!</v>
      </c>
      <c r="P429" s="114" t="s">
        <v>32</v>
      </c>
    </row>
    <row r="430" spans="1:16" ht="39" x14ac:dyDescent="0.3">
      <c r="A430" s="50"/>
      <c r="B430" s="154"/>
      <c r="C430" s="201" t="s">
        <v>1188</v>
      </c>
      <c r="D430" s="182" t="s">
        <v>695</v>
      </c>
      <c r="E430" s="259" t="s">
        <v>970</v>
      </c>
      <c r="F430" s="316">
        <v>1</v>
      </c>
      <c r="G430" s="207">
        <f t="shared" si="79"/>
        <v>26853.839999999997</v>
      </c>
      <c r="H430" s="243">
        <f>3184+440</f>
        <v>3624</v>
      </c>
      <c r="I430" s="354"/>
      <c r="J430" s="354"/>
      <c r="K430" s="186">
        <f t="shared" si="80"/>
        <v>26853.839999999997</v>
      </c>
      <c r="L430" s="321" t="e">
        <f t="shared" si="81"/>
        <v>#REF!</v>
      </c>
      <c r="M430" s="450"/>
      <c r="N430" s="131" t="e">
        <f>IF(ISNA(MATCH(C430,#REF!,0)),"",INDEX(#REF!,MATCH(C430,#REF!,0)))</f>
        <v>#REF!</v>
      </c>
      <c r="O430" s="114" t="e">
        <f>SUMIF(#REF!,C430,#REF!)</f>
        <v>#REF!</v>
      </c>
      <c r="P430" s="114" t="s">
        <v>32</v>
      </c>
    </row>
    <row r="431" spans="1:16" ht="39" x14ac:dyDescent="0.3">
      <c r="A431" s="50"/>
      <c r="B431" s="154"/>
      <c r="C431" s="201" t="s">
        <v>1189</v>
      </c>
      <c r="D431" s="182" t="s">
        <v>697</v>
      </c>
      <c r="E431" s="259" t="s">
        <v>970</v>
      </c>
      <c r="F431" s="316">
        <v>1</v>
      </c>
      <c r="G431" s="207">
        <f t="shared" si="79"/>
        <v>148866.9</v>
      </c>
      <c r="H431" s="243">
        <f>18935+1155</f>
        <v>20090</v>
      </c>
      <c r="I431" s="354"/>
      <c r="J431" s="354"/>
      <c r="K431" s="186">
        <f t="shared" si="80"/>
        <v>148866.9</v>
      </c>
      <c r="L431" s="321" t="e">
        <f t="shared" si="81"/>
        <v>#REF!</v>
      </c>
      <c r="M431" s="450"/>
      <c r="N431" s="131" t="e">
        <f>IF(ISNA(MATCH(C431,#REF!,0)),"",INDEX(#REF!,MATCH(C431,#REF!,0)))</f>
        <v>#REF!</v>
      </c>
      <c r="O431" s="114" t="e">
        <f>SUMIF(#REF!,C431,#REF!)</f>
        <v>#REF!</v>
      </c>
      <c r="P431" s="114" t="s">
        <v>32</v>
      </c>
    </row>
    <row r="432" spans="1:16" ht="26" x14ac:dyDescent="0.3">
      <c r="A432" s="50"/>
      <c r="B432" s="154"/>
      <c r="C432" s="201" t="s">
        <v>1190</v>
      </c>
      <c r="D432" s="182" t="s">
        <v>696</v>
      </c>
      <c r="E432" s="259" t="s">
        <v>970</v>
      </c>
      <c r="F432" s="316">
        <v>10</v>
      </c>
      <c r="G432" s="207">
        <f t="shared" si="79"/>
        <v>44034.665999999997</v>
      </c>
      <c r="H432" s="243">
        <f>42347+1851+15228</f>
        <v>59426</v>
      </c>
      <c r="I432" s="354"/>
      <c r="J432" s="354"/>
      <c r="K432" s="186">
        <f t="shared" si="80"/>
        <v>440346.66</v>
      </c>
      <c r="L432" s="321" t="e">
        <f t="shared" si="81"/>
        <v>#REF!</v>
      </c>
      <c r="M432" s="450"/>
      <c r="N432" s="131" t="e">
        <f>IF(ISNA(MATCH(C432,#REF!,0)),"",INDEX(#REF!,MATCH(C432,#REF!,0)))</f>
        <v>#REF!</v>
      </c>
      <c r="O432" s="114" t="e">
        <f>SUMIF(#REF!,C432,#REF!)</f>
        <v>#REF!</v>
      </c>
      <c r="P432" s="114" t="s">
        <v>32</v>
      </c>
    </row>
    <row r="433" spans="1:16" ht="39" x14ac:dyDescent="0.3">
      <c r="A433" s="50"/>
      <c r="B433" s="154"/>
      <c r="C433" s="201" t="s">
        <v>1191</v>
      </c>
      <c r="D433" s="182" t="s">
        <v>698</v>
      </c>
      <c r="E433" s="259" t="s">
        <v>970</v>
      </c>
      <c r="F433" s="316">
        <v>4</v>
      </c>
      <c r="G433" s="207">
        <f t="shared" si="79"/>
        <v>44109.877499999995</v>
      </c>
      <c r="H433" s="243">
        <f>2434+18297+269+1706+1105</f>
        <v>23811</v>
      </c>
      <c r="I433" s="354"/>
      <c r="J433" s="354"/>
      <c r="K433" s="186">
        <f t="shared" si="80"/>
        <v>176439.50999999998</v>
      </c>
      <c r="L433" s="321" t="e">
        <f t="shared" si="81"/>
        <v>#REF!</v>
      </c>
      <c r="M433" s="450"/>
      <c r="N433" s="131" t="e">
        <f>IF(ISNA(MATCH(C433,#REF!,0)),"",INDEX(#REF!,MATCH(C433,#REF!,0)))</f>
        <v>#REF!</v>
      </c>
      <c r="O433" s="114" t="e">
        <f>SUMIF(#REF!,C433,#REF!)</f>
        <v>#REF!</v>
      </c>
      <c r="P433" s="114" t="s">
        <v>32</v>
      </c>
    </row>
    <row r="434" spans="1:16" x14ac:dyDescent="0.3">
      <c r="A434" s="50"/>
      <c r="B434" s="154"/>
      <c r="C434" s="201" t="s">
        <v>1192</v>
      </c>
      <c r="D434" s="182" t="s">
        <v>699</v>
      </c>
      <c r="E434" s="259" t="s">
        <v>970</v>
      </c>
      <c r="F434" s="316">
        <v>3</v>
      </c>
      <c r="G434" s="207">
        <f t="shared" si="79"/>
        <v>1800.6299999999999</v>
      </c>
      <c r="H434" s="243">
        <f>625+104</f>
        <v>729</v>
      </c>
      <c r="I434" s="354"/>
      <c r="J434" s="354"/>
      <c r="K434" s="186">
        <f t="shared" si="80"/>
        <v>5401.8899999999994</v>
      </c>
      <c r="L434" s="321" t="e">
        <f t="shared" si="81"/>
        <v>#REF!</v>
      </c>
      <c r="M434" s="450"/>
      <c r="N434" s="131" t="e">
        <f>IF(ISNA(MATCH(C434,#REF!,0)),"",INDEX(#REF!,MATCH(C434,#REF!,0)))</f>
        <v>#REF!</v>
      </c>
      <c r="O434" s="114" t="e">
        <f>SUMIF(#REF!,C434,#REF!)</f>
        <v>#REF!</v>
      </c>
      <c r="P434" s="114" t="s">
        <v>32</v>
      </c>
    </row>
    <row r="435" spans="1:16" ht="26" x14ac:dyDescent="0.3">
      <c r="A435" s="50"/>
      <c r="B435" s="154"/>
      <c r="C435" s="201" t="s">
        <v>1203</v>
      </c>
      <c r="D435" s="182" t="s">
        <v>700</v>
      </c>
      <c r="E435" s="259" t="s">
        <v>971</v>
      </c>
      <c r="F435" s="316">
        <v>18.18</v>
      </c>
      <c r="G435" s="207">
        <f t="shared" si="79"/>
        <v>754.85808580858077</v>
      </c>
      <c r="H435" s="243">
        <f>832+1020</f>
        <v>1852</v>
      </c>
      <c r="I435" s="354"/>
      <c r="J435" s="354"/>
      <c r="K435" s="186">
        <f t="shared" si="80"/>
        <v>13723.319999999998</v>
      </c>
      <c r="L435" s="321" t="e">
        <f t="shared" si="81"/>
        <v>#REF!</v>
      </c>
      <c r="M435" s="450"/>
      <c r="N435" s="131" t="e">
        <f>IF(ISNA(MATCH(C435,#REF!,0)),"",INDEX(#REF!,MATCH(C435,#REF!,0)))</f>
        <v>#REF!</v>
      </c>
      <c r="O435" s="114" t="e">
        <f>SUMIF(#REF!,C435,#REF!)</f>
        <v>#REF!</v>
      </c>
      <c r="P435" s="114" t="s">
        <v>32</v>
      </c>
    </row>
    <row r="436" spans="1:16" ht="26" x14ac:dyDescent="0.3">
      <c r="A436" s="50"/>
      <c r="B436" s="154"/>
      <c r="C436" s="201" t="s">
        <v>1204</v>
      </c>
      <c r="D436" s="182" t="s">
        <v>702</v>
      </c>
      <c r="E436" s="190" t="s">
        <v>701</v>
      </c>
      <c r="F436" s="316">
        <v>19.635999999999999</v>
      </c>
      <c r="G436" s="207">
        <f t="shared" si="79"/>
        <v>211.32613566917905</v>
      </c>
      <c r="H436" s="243">
        <f>345+215</f>
        <v>560</v>
      </c>
      <c r="I436" s="354"/>
      <c r="J436" s="354"/>
      <c r="K436" s="186">
        <f t="shared" si="80"/>
        <v>4149.5999999999995</v>
      </c>
      <c r="L436" s="321" t="e">
        <f t="shared" si="81"/>
        <v>#REF!</v>
      </c>
      <c r="M436" s="450"/>
      <c r="N436" s="319" t="e">
        <f>IF(ISNA(MATCH(C436,#REF!,0)),"",INDEX(#REF!,MATCH(C436,#REF!,0)))</f>
        <v>#REF!</v>
      </c>
      <c r="O436" s="113" t="e">
        <f>SUMIF(#REF!,C436,#REF!)</f>
        <v>#REF!</v>
      </c>
      <c r="P436" s="113" t="s">
        <v>32</v>
      </c>
    </row>
    <row r="437" spans="1:16" ht="26" x14ac:dyDescent="0.3">
      <c r="A437" s="50"/>
      <c r="B437" s="154"/>
      <c r="C437" s="201" t="s">
        <v>1205</v>
      </c>
      <c r="D437" s="182" t="s">
        <v>703</v>
      </c>
      <c r="E437" s="259" t="s">
        <v>971</v>
      </c>
      <c r="F437" s="316">
        <v>2.02</v>
      </c>
      <c r="G437" s="207">
        <f t="shared" si="79"/>
        <v>994.11386138613852</v>
      </c>
      <c r="H437" s="243">
        <f>132+139</f>
        <v>271</v>
      </c>
      <c r="I437" s="354"/>
      <c r="J437" s="354"/>
      <c r="K437" s="186">
        <f t="shared" si="80"/>
        <v>2008.11</v>
      </c>
      <c r="L437" s="321" t="e">
        <f t="shared" si="81"/>
        <v>#REF!</v>
      </c>
      <c r="M437" s="450"/>
      <c r="N437" s="131" t="e">
        <f>IF(ISNA(MATCH(C437,#REF!,0)),"",INDEX(#REF!,MATCH(C437,#REF!,0)))</f>
        <v>#REF!</v>
      </c>
      <c r="O437" s="114" t="e">
        <f>SUMIF(#REF!,C437,#REF!)</f>
        <v>#REF!</v>
      </c>
      <c r="P437" s="114" t="s">
        <v>32</v>
      </c>
    </row>
    <row r="438" spans="1:16" ht="26" x14ac:dyDescent="0.3">
      <c r="A438" s="50"/>
      <c r="B438" s="154"/>
      <c r="C438" s="201" t="s">
        <v>1206</v>
      </c>
      <c r="D438" s="182" t="s">
        <v>704</v>
      </c>
      <c r="E438" s="259" t="s">
        <v>971</v>
      </c>
      <c r="F438" s="316">
        <v>17.170000000000002</v>
      </c>
      <c r="G438" s="207">
        <f t="shared" si="79"/>
        <v>1300.7419918462433</v>
      </c>
      <c r="H438" s="243">
        <f>1803+1211</f>
        <v>3014</v>
      </c>
      <c r="I438" s="354"/>
      <c r="J438" s="354"/>
      <c r="K438" s="186">
        <f t="shared" si="80"/>
        <v>22333.739999999998</v>
      </c>
      <c r="L438" s="321" t="e">
        <f t="shared" si="81"/>
        <v>#REF!</v>
      </c>
      <c r="M438" s="450"/>
      <c r="N438" s="131" t="e">
        <f>IF(ISNA(MATCH(C438,#REF!,0)),"",INDEX(#REF!,MATCH(C438,#REF!,0)))</f>
        <v>#REF!</v>
      </c>
      <c r="O438" s="114" t="e">
        <f>SUMIF(#REF!,C438,#REF!)</f>
        <v>#REF!</v>
      </c>
      <c r="P438" s="114" t="s">
        <v>32</v>
      </c>
    </row>
    <row r="439" spans="1:16" x14ac:dyDescent="0.3">
      <c r="A439" s="50"/>
      <c r="B439" s="154"/>
      <c r="C439" s="201" t="s">
        <v>1207</v>
      </c>
      <c r="D439" s="182" t="s">
        <v>705</v>
      </c>
      <c r="E439" s="190" t="s">
        <v>701</v>
      </c>
      <c r="F439" s="318">
        <v>51.545000000000002</v>
      </c>
      <c r="G439" s="207">
        <f t="shared" si="79"/>
        <v>134.55737704918033</v>
      </c>
      <c r="H439" s="243">
        <v>936</v>
      </c>
      <c r="I439" s="354"/>
      <c r="J439" s="354"/>
      <c r="K439" s="186">
        <f t="shared" si="80"/>
        <v>6935.76</v>
      </c>
      <c r="L439" s="321" t="e">
        <f t="shared" si="81"/>
        <v>#REF!</v>
      </c>
      <c r="M439" s="450"/>
      <c r="N439" s="319" t="e">
        <f>IF(ISNA(MATCH(C439,#REF!,0)),"",INDEX(#REF!,MATCH(C439,#REF!,0)))</f>
        <v>#REF!</v>
      </c>
      <c r="O439" s="113" t="e">
        <f>SUMIF(#REF!,C439,#REF!)</f>
        <v>#REF!</v>
      </c>
      <c r="P439" s="113" t="s">
        <v>32</v>
      </c>
    </row>
    <row r="440" spans="1:16" ht="26" x14ac:dyDescent="0.3">
      <c r="A440" s="50"/>
      <c r="B440" s="154"/>
      <c r="C440" s="201" t="s">
        <v>1208</v>
      </c>
      <c r="D440" s="182" t="s">
        <v>706</v>
      </c>
      <c r="E440" s="259" t="s">
        <v>971</v>
      </c>
      <c r="F440" s="316">
        <v>17.170000000000002</v>
      </c>
      <c r="G440" s="207">
        <f t="shared" si="79"/>
        <v>2007.2166569598132</v>
      </c>
      <c r="H440" s="243">
        <f>3170+1481</f>
        <v>4651</v>
      </c>
      <c r="I440" s="354"/>
      <c r="J440" s="354"/>
      <c r="K440" s="186">
        <f t="shared" si="80"/>
        <v>34463.909999999996</v>
      </c>
      <c r="L440" s="321" t="e">
        <f t="shared" si="81"/>
        <v>#REF!</v>
      </c>
      <c r="M440" s="450"/>
      <c r="N440" s="131" t="e">
        <f>IF(ISNA(MATCH(C440,#REF!,0)),"",INDEX(#REF!,MATCH(C440,#REF!,0)))</f>
        <v>#REF!</v>
      </c>
      <c r="O440" s="114" t="e">
        <f>SUMIF(#REF!,C440,#REF!)</f>
        <v>#REF!</v>
      </c>
      <c r="P440" s="114" t="s">
        <v>32</v>
      </c>
    </row>
    <row r="441" spans="1:16" x14ac:dyDescent="0.3">
      <c r="A441" s="50"/>
      <c r="B441" s="154"/>
      <c r="C441" s="201" t="s">
        <v>1209</v>
      </c>
      <c r="D441" s="182" t="s">
        <v>707</v>
      </c>
      <c r="E441" s="190" t="s">
        <v>701</v>
      </c>
      <c r="F441" s="316">
        <v>29.545000000000002</v>
      </c>
      <c r="G441" s="207">
        <f t="shared" si="79"/>
        <v>139.19614147909965</v>
      </c>
      <c r="H441" s="243">
        <v>555</v>
      </c>
      <c r="I441" s="354"/>
      <c r="J441" s="354"/>
      <c r="K441" s="186">
        <f t="shared" si="80"/>
        <v>4112.5499999999993</v>
      </c>
      <c r="L441" s="321" t="e">
        <f t="shared" si="81"/>
        <v>#REF!</v>
      </c>
      <c r="M441" s="450"/>
      <c r="N441" s="319" t="e">
        <f>IF(ISNA(MATCH(C441,#REF!,0)),"",INDEX(#REF!,MATCH(C441,#REF!,0)))</f>
        <v>#REF!</v>
      </c>
      <c r="O441" s="113" t="e">
        <f>SUMIF(#REF!,C441,#REF!)</f>
        <v>#REF!</v>
      </c>
      <c r="P441" s="113" t="s">
        <v>32</v>
      </c>
    </row>
    <row r="442" spans="1:16" ht="26" x14ac:dyDescent="0.3">
      <c r="A442" s="50"/>
      <c r="B442" s="154"/>
      <c r="C442" s="201" t="s">
        <v>1210</v>
      </c>
      <c r="D442" s="182" t="s">
        <v>708</v>
      </c>
      <c r="E442" s="259" t="s">
        <v>971</v>
      </c>
      <c r="F442" s="316">
        <v>119.18</v>
      </c>
      <c r="G442" s="207">
        <f t="shared" si="79"/>
        <v>2270.5015942272194</v>
      </c>
      <c r="H442" s="243">
        <f>24335+12183</f>
        <v>36518</v>
      </c>
      <c r="I442" s="354"/>
      <c r="J442" s="354"/>
      <c r="K442" s="186">
        <f t="shared" si="80"/>
        <v>270598.38</v>
      </c>
      <c r="L442" s="321" t="e">
        <f t="shared" si="81"/>
        <v>#REF!</v>
      </c>
      <c r="M442" s="450"/>
      <c r="N442" s="131" t="e">
        <f>IF(ISNA(MATCH(C442,#REF!,0)),"",INDEX(#REF!,MATCH(C442,#REF!,0)))</f>
        <v>#REF!</v>
      </c>
      <c r="O442" s="114" t="e">
        <f>SUMIF(#REF!,C442,#REF!)</f>
        <v>#REF!</v>
      </c>
      <c r="P442" s="114" t="s">
        <v>32</v>
      </c>
    </row>
    <row r="443" spans="1:16" x14ac:dyDescent="0.3">
      <c r="A443" s="50"/>
      <c r="B443" s="154"/>
      <c r="C443" s="201" t="s">
        <v>1211</v>
      </c>
      <c r="D443" s="182" t="s">
        <v>709</v>
      </c>
      <c r="E443" s="190" t="s">
        <v>701</v>
      </c>
      <c r="F443" s="316">
        <v>72.727000000000004</v>
      </c>
      <c r="G443" s="207">
        <f t="shared" si="79"/>
        <v>143.86568949633559</v>
      </c>
      <c r="H443" s="243">
        <v>1412</v>
      </c>
      <c r="I443" s="354"/>
      <c r="J443" s="354"/>
      <c r="K443" s="186">
        <f t="shared" si="80"/>
        <v>10462.919999999998</v>
      </c>
      <c r="L443" s="321" t="e">
        <f t="shared" si="81"/>
        <v>#REF!</v>
      </c>
      <c r="M443" s="450"/>
      <c r="N443" s="319" t="e">
        <f>IF(ISNA(MATCH(C443,#REF!,0)),"",INDEX(#REF!,MATCH(C443,#REF!,0)))</f>
        <v>#REF!</v>
      </c>
      <c r="O443" s="113" t="e">
        <f>SUMIF(#REF!,C443,#REF!)</f>
        <v>#REF!</v>
      </c>
      <c r="P443" s="113" t="s">
        <v>32</v>
      </c>
    </row>
    <row r="444" spans="1:16" ht="26" x14ac:dyDescent="0.3">
      <c r="A444" s="50"/>
      <c r="B444" s="154"/>
      <c r="C444" s="201" t="s">
        <v>1212</v>
      </c>
      <c r="D444" s="182" t="s">
        <v>711</v>
      </c>
      <c r="E444" s="259" t="s">
        <v>971</v>
      </c>
      <c r="F444" s="316">
        <v>133.32</v>
      </c>
      <c r="G444" s="207">
        <f t="shared" si="79"/>
        <v>3961.393114311431</v>
      </c>
      <c r="H444" s="243">
        <f>54008+17265</f>
        <v>71273</v>
      </c>
      <c r="I444" s="354"/>
      <c r="J444" s="354"/>
      <c r="K444" s="186">
        <f t="shared" si="80"/>
        <v>528132.92999999993</v>
      </c>
      <c r="L444" s="321" t="e">
        <f t="shared" si="81"/>
        <v>#REF!</v>
      </c>
      <c r="M444" s="450"/>
      <c r="N444" s="131" t="e">
        <f>IF(ISNA(MATCH(C444,#REF!,0)),"",INDEX(#REF!,MATCH(C444,#REF!,0)))</f>
        <v>#REF!</v>
      </c>
      <c r="O444" s="114" t="e">
        <f>SUMIF(#REF!,C444,#REF!)</f>
        <v>#REF!</v>
      </c>
      <c r="P444" s="114" t="s">
        <v>32</v>
      </c>
    </row>
    <row r="445" spans="1:16" x14ac:dyDescent="0.3">
      <c r="A445" s="50"/>
      <c r="B445" s="154"/>
      <c r="C445" s="201" t="s">
        <v>1213</v>
      </c>
      <c r="D445" s="182" t="s">
        <v>710</v>
      </c>
      <c r="E445" s="190" t="s">
        <v>701</v>
      </c>
      <c r="F445" s="316">
        <v>70</v>
      </c>
      <c r="G445" s="207">
        <f t="shared" si="79"/>
        <v>153.17528571428571</v>
      </c>
      <c r="H445" s="243">
        <v>1447</v>
      </c>
      <c r="I445" s="354"/>
      <c r="J445" s="354"/>
      <c r="K445" s="186">
        <f t="shared" si="80"/>
        <v>10722.27</v>
      </c>
      <c r="L445" s="321" t="e">
        <f t="shared" si="81"/>
        <v>#REF!</v>
      </c>
      <c r="M445" s="450"/>
      <c r="N445" s="319" t="e">
        <f>IF(ISNA(MATCH(C445,#REF!,0)),"",INDEX(#REF!,MATCH(C445,#REF!,0)))</f>
        <v>#REF!</v>
      </c>
      <c r="O445" s="113" t="e">
        <f>SUMIF(#REF!,C445,#REF!)</f>
        <v>#REF!</v>
      </c>
      <c r="P445" s="113" t="s">
        <v>32</v>
      </c>
    </row>
    <row r="446" spans="1:16" ht="26" x14ac:dyDescent="0.3">
      <c r="A446" s="50"/>
      <c r="B446" s="154"/>
      <c r="C446" s="201" t="s">
        <v>1214</v>
      </c>
      <c r="D446" s="182" t="s">
        <v>712</v>
      </c>
      <c r="E446" s="259" t="s">
        <v>713</v>
      </c>
      <c r="F446" s="316">
        <v>44.764000000000003</v>
      </c>
      <c r="G446" s="207">
        <f t="shared" si="79"/>
        <v>477.0713073005092</v>
      </c>
      <c r="H446" s="243">
        <f>2882</f>
        <v>2882</v>
      </c>
      <c r="I446" s="354"/>
      <c r="J446" s="354"/>
      <c r="K446" s="186">
        <f t="shared" si="80"/>
        <v>21355.619999999995</v>
      </c>
      <c r="L446" s="321" t="e">
        <f t="shared" si="81"/>
        <v>#REF!</v>
      </c>
      <c r="M446" s="450"/>
      <c r="N446" s="131" t="e">
        <f>IF(ISNA(MATCH(C446,#REF!,0)),"",INDEX(#REF!,MATCH(C446,#REF!,0)))</f>
        <v>#REF!</v>
      </c>
      <c r="O446" s="114" t="e">
        <f>SUMIF(#REF!,C446,#REF!)</f>
        <v>#REF!</v>
      </c>
      <c r="P446" s="114" t="s">
        <v>32</v>
      </c>
    </row>
    <row r="447" spans="1:16" x14ac:dyDescent="0.3">
      <c r="A447" s="50"/>
      <c r="B447" s="154"/>
      <c r="C447" s="216" t="s">
        <v>1215</v>
      </c>
      <c r="D447" s="232" t="s">
        <v>1705</v>
      </c>
      <c r="E447" s="233"/>
      <c r="F447" s="234"/>
      <c r="G447" s="235"/>
      <c r="H447" s="301">
        <f>SUM(H448:H456)</f>
        <v>168868</v>
      </c>
      <c r="I447" s="343"/>
      <c r="J447" s="343"/>
      <c r="K447" s="236">
        <f>SUM(K448:K456)</f>
        <v>1251311.8799999999</v>
      </c>
      <c r="L447" s="236" t="e">
        <f>SUM(L448:L456)</f>
        <v>#REF!</v>
      </c>
      <c r="M447" s="450"/>
      <c r="N447" s="126" t="e">
        <f>IF(ISNA(MATCH(C447,#REF!,0)),"",INDEX(#REF!,MATCH(C447,#REF!,0)))</f>
        <v>#REF!</v>
      </c>
      <c r="O447" s="127" t="e">
        <f>SUMIF(#REF!,C447,#REF!)</f>
        <v>#REF!</v>
      </c>
      <c r="P447" s="127" t="s">
        <v>32</v>
      </c>
    </row>
    <row r="448" spans="1:16" ht="26" x14ac:dyDescent="0.3">
      <c r="A448" s="50"/>
      <c r="B448" s="154"/>
      <c r="C448" s="201" t="s">
        <v>1216</v>
      </c>
      <c r="D448" s="58" t="s">
        <v>714</v>
      </c>
      <c r="E448" s="200" t="s">
        <v>969</v>
      </c>
      <c r="F448" s="316">
        <v>1.4039999999999999</v>
      </c>
      <c r="G448" s="207">
        <f>K448/F448</f>
        <v>313695.27777777775</v>
      </c>
      <c r="H448" s="187">
        <f>59436+1</f>
        <v>59437</v>
      </c>
      <c r="I448" s="244"/>
      <c r="J448" s="244"/>
      <c r="K448" s="186">
        <f>H448*$C$4*$C$5</f>
        <v>440428.16999999993</v>
      </c>
      <c r="L448" s="321" t="e">
        <f>IF(N448="поставка Заказчика",N448,K448)</f>
        <v>#REF!</v>
      </c>
      <c r="M448" s="450"/>
      <c r="N448" s="131" t="e">
        <f>IF(ISNA(MATCH(C448,#REF!,0)),"",INDEX(#REF!,MATCH(C448,#REF!,0)))</f>
        <v>#REF!</v>
      </c>
      <c r="O448" s="114" t="e">
        <f>SUMIF(#REF!,C448,#REF!)</f>
        <v>#REF!</v>
      </c>
      <c r="P448" s="114" t="s">
        <v>32</v>
      </c>
    </row>
    <row r="449" spans="1:16" x14ac:dyDescent="0.3">
      <c r="A449" s="50"/>
      <c r="B449" s="154"/>
      <c r="C449" s="201" t="s">
        <v>1217</v>
      </c>
      <c r="D449" s="58" t="s">
        <v>715</v>
      </c>
      <c r="E449" s="200" t="s">
        <v>969</v>
      </c>
      <c r="F449" s="316">
        <v>0.41099999999999998</v>
      </c>
      <c r="G449" s="207">
        <f>K449/F449</f>
        <v>97826.423357664229</v>
      </c>
      <c r="H449" s="187">
        <f>685+4741</f>
        <v>5426</v>
      </c>
      <c r="I449" s="244"/>
      <c r="J449" s="244"/>
      <c r="K449" s="186">
        <f>H449*$C$4*$C$5</f>
        <v>40206.659999999996</v>
      </c>
      <c r="L449" s="321" t="e">
        <f>IF(N449="поставка Заказчика",N449,K449)</f>
        <v>#REF!</v>
      </c>
      <c r="M449" s="450"/>
      <c r="N449" s="131" t="e">
        <f>IF(ISNA(MATCH(C449,#REF!,0)),"",INDEX(#REF!,MATCH(C449,#REF!,0)))</f>
        <v>#REF!</v>
      </c>
      <c r="O449" s="114" t="e">
        <f>SUMIF(#REF!,C449,#REF!)</f>
        <v>#REF!</v>
      </c>
      <c r="P449" s="114" t="s">
        <v>32</v>
      </c>
    </row>
    <row r="450" spans="1:16" x14ac:dyDescent="0.3">
      <c r="A450" s="50"/>
      <c r="B450" s="154"/>
      <c r="C450" s="201" t="s">
        <v>1218</v>
      </c>
      <c r="D450" s="58" t="s">
        <v>716</v>
      </c>
      <c r="E450" s="200"/>
      <c r="F450" s="316"/>
      <c r="G450" s="207"/>
      <c r="H450" s="243"/>
      <c r="I450" s="354"/>
      <c r="J450" s="354"/>
      <c r="K450" s="186"/>
      <c r="L450" s="186" t="e">
        <f>K450-O450</f>
        <v>#REF!</v>
      </c>
      <c r="M450" s="450"/>
      <c r="N450" s="131" t="e">
        <f>IF(ISNA(MATCH(C450,#REF!,0)),"",INDEX(#REF!,MATCH(C450,#REF!,0)))</f>
        <v>#REF!</v>
      </c>
      <c r="O450" s="114" t="e">
        <f>SUMIF(#REF!,C450,#REF!)</f>
        <v>#REF!</v>
      </c>
      <c r="P450" s="114" t="s">
        <v>32</v>
      </c>
    </row>
    <row r="451" spans="1:16" ht="26" x14ac:dyDescent="0.3">
      <c r="A451" s="50"/>
      <c r="B451" s="154"/>
      <c r="C451" s="201" t="s">
        <v>1219</v>
      </c>
      <c r="D451" s="58" t="s">
        <v>717</v>
      </c>
      <c r="E451" s="200" t="s">
        <v>977</v>
      </c>
      <c r="F451" s="316">
        <v>2.355</v>
      </c>
      <c r="G451" s="207">
        <f t="shared" ref="G451:G456" si="82">K451/F451</f>
        <v>2875.8980891719739</v>
      </c>
      <c r="H451" s="187">
        <v>914</v>
      </c>
      <c r="I451" s="244"/>
      <c r="J451" s="244"/>
      <c r="K451" s="186">
        <f t="shared" ref="K451:K456" si="83">H451*$C$4*$C$5</f>
        <v>6772.7399999999989</v>
      </c>
      <c r="L451" s="321" t="e">
        <f t="shared" ref="L451:L456" si="84">IF(N451="поставка Заказчика",N451,K451)</f>
        <v>#REF!</v>
      </c>
      <c r="M451" s="450"/>
      <c r="N451" s="131" t="e">
        <f>IF(ISNA(MATCH(C451,#REF!,0)),"",INDEX(#REF!,MATCH(C451,#REF!,0)))</f>
        <v>#REF!</v>
      </c>
      <c r="O451" s="114" t="e">
        <f>SUMIF(#REF!,C451,#REF!)</f>
        <v>#REF!</v>
      </c>
      <c r="P451" s="114" t="s">
        <v>32</v>
      </c>
    </row>
    <row r="452" spans="1:16" ht="26" x14ac:dyDescent="0.3">
      <c r="A452" s="50"/>
      <c r="B452" s="154"/>
      <c r="C452" s="201" t="s">
        <v>1220</v>
      </c>
      <c r="D452" s="58" t="s">
        <v>718</v>
      </c>
      <c r="E452" s="200" t="s">
        <v>977</v>
      </c>
      <c r="F452" s="316">
        <v>2.355</v>
      </c>
      <c r="G452" s="207">
        <f t="shared" si="82"/>
        <v>10509.299363057324</v>
      </c>
      <c r="H452" s="187">
        <v>3340</v>
      </c>
      <c r="I452" s="244"/>
      <c r="J452" s="244"/>
      <c r="K452" s="186">
        <f t="shared" si="83"/>
        <v>24749.399999999998</v>
      </c>
      <c r="L452" s="321" t="e">
        <f t="shared" si="84"/>
        <v>#REF!</v>
      </c>
      <c r="M452" s="450"/>
      <c r="N452" s="131" t="e">
        <f>IF(ISNA(MATCH(C452,#REF!,0)),"",INDEX(#REF!,MATCH(C452,#REF!,0)))</f>
        <v>#REF!</v>
      </c>
      <c r="O452" s="114" t="e">
        <f>SUMIF(#REF!,C452,#REF!)</f>
        <v>#REF!</v>
      </c>
      <c r="P452" s="114" t="s">
        <v>32</v>
      </c>
    </row>
    <row r="453" spans="1:16" x14ac:dyDescent="0.3">
      <c r="A453" s="50"/>
      <c r="B453" s="154"/>
      <c r="C453" s="201" t="s">
        <v>1221</v>
      </c>
      <c r="D453" s="221" t="s">
        <v>719</v>
      </c>
      <c r="E453" s="230" t="s">
        <v>1176</v>
      </c>
      <c r="F453" s="316">
        <v>14.148</v>
      </c>
      <c r="G453" s="207">
        <f t="shared" si="82"/>
        <v>16537.896522476676</v>
      </c>
      <c r="H453" s="191">
        <v>31576</v>
      </c>
      <c r="I453" s="346"/>
      <c r="J453" s="346"/>
      <c r="K453" s="186">
        <f t="shared" si="83"/>
        <v>233978.16</v>
      </c>
      <c r="L453" s="321" t="e">
        <f t="shared" si="84"/>
        <v>#REF!</v>
      </c>
      <c r="M453" s="450"/>
      <c r="N453" s="131" t="e">
        <f>IF(ISNA(MATCH(C453,#REF!,0)),"",INDEX(#REF!,MATCH(C453,#REF!,0)))</f>
        <v>#REF!</v>
      </c>
      <c r="O453" s="114" t="e">
        <f>SUMIF(#REF!,C453,#REF!)</f>
        <v>#REF!</v>
      </c>
      <c r="P453" s="114" t="s">
        <v>32</v>
      </c>
    </row>
    <row r="454" spans="1:16" ht="26" x14ac:dyDescent="0.3">
      <c r="A454" s="50"/>
      <c r="B454" s="156"/>
      <c r="C454" s="201" t="s">
        <v>1222</v>
      </c>
      <c r="D454" s="182" t="s">
        <v>849</v>
      </c>
      <c r="E454" s="183" t="s">
        <v>977</v>
      </c>
      <c r="F454" s="316">
        <v>3.2970000000000002</v>
      </c>
      <c r="G454" s="207">
        <f t="shared" si="82"/>
        <v>141756.424021838</v>
      </c>
      <c r="H454" s="243">
        <v>63073</v>
      </c>
      <c r="I454" s="354"/>
      <c r="J454" s="354"/>
      <c r="K454" s="186">
        <f t="shared" si="83"/>
        <v>467370.92999999993</v>
      </c>
      <c r="L454" s="321" t="e">
        <f t="shared" si="84"/>
        <v>#REF!</v>
      </c>
      <c r="M454" s="450"/>
      <c r="N454" s="123" t="e">
        <f>IF(ISNA(MATCH(C454,#REF!,0)),"",INDEX(#REF!,MATCH(C454,#REF!,0)))</f>
        <v>#REF!</v>
      </c>
      <c r="O454" s="124" t="e">
        <f>SUMIF(#REF!,C454,#REF!)</f>
        <v>#REF!</v>
      </c>
      <c r="P454" s="124" t="s">
        <v>32</v>
      </c>
    </row>
    <row r="455" spans="1:16" ht="39" x14ac:dyDescent="0.3">
      <c r="A455" s="50"/>
      <c r="B455" s="156"/>
      <c r="C455" s="201" t="s">
        <v>1223</v>
      </c>
      <c r="D455" s="182" t="s">
        <v>850</v>
      </c>
      <c r="E455" s="183" t="s">
        <v>977</v>
      </c>
      <c r="F455" s="316">
        <v>2.8250000000000002</v>
      </c>
      <c r="G455" s="207">
        <f t="shared" si="82"/>
        <v>2877.4407079646016</v>
      </c>
      <c r="H455" s="243">
        <v>1097</v>
      </c>
      <c r="I455" s="354"/>
      <c r="J455" s="354"/>
      <c r="K455" s="186">
        <f t="shared" si="83"/>
        <v>8128.7699999999995</v>
      </c>
      <c r="L455" s="321" t="e">
        <f t="shared" si="84"/>
        <v>#REF!</v>
      </c>
      <c r="M455" s="450"/>
      <c r="N455" s="123" t="e">
        <f>IF(ISNA(MATCH(C455,#REF!,0)),"",INDEX(#REF!,MATCH(C455,#REF!,0)))</f>
        <v>#REF!</v>
      </c>
      <c r="O455" s="124" t="e">
        <f>SUMIF(#REF!,C455,#REF!)</f>
        <v>#REF!</v>
      </c>
      <c r="P455" s="124" t="s">
        <v>32</v>
      </c>
    </row>
    <row r="456" spans="1:16" ht="39" x14ac:dyDescent="0.3">
      <c r="A456" s="50"/>
      <c r="B456" s="156"/>
      <c r="C456" s="201" t="s">
        <v>1224</v>
      </c>
      <c r="D456" s="182" t="s">
        <v>851</v>
      </c>
      <c r="E456" s="183" t="s">
        <v>977</v>
      </c>
      <c r="F456" s="316">
        <v>2.8250000000000002</v>
      </c>
      <c r="G456" s="207">
        <f t="shared" si="82"/>
        <v>10505.150442477876</v>
      </c>
      <c r="H456" s="243">
        <v>4005</v>
      </c>
      <c r="I456" s="354"/>
      <c r="J456" s="354"/>
      <c r="K456" s="186">
        <f t="shared" si="83"/>
        <v>29677.05</v>
      </c>
      <c r="L456" s="321" t="e">
        <f t="shared" si="84"/>
        <v>#REF!</v>
      </c>
      <c r="M456" s="450"/>
      <c r="N456" s="123" t="e">
        <f>IF(ISNA(MATCH(C456,#REF!,0)),"",INDEX(#REF!,MATCH(C456,#REF!,0)))</f>
        <v>#REF!</v>
      </c>
      <c r="O456" s="124" t="e">
        <f>SUMIF(#REF!,C456,#REF!)</f>
        <v>#REF!</v>
      </c>
      <c r="P456" s="124" t="s">
        <v>32</v>
      </c>
    </row>
    <row r="457" spans="1:16" x14ac:dyDescent="0.3">
      <c r="A457" s="50"/>
      <c r="B457" s="128" t="s">
        <v>852</v>
      </c>
      <c r="C457" s="213" t="s">
        <v>1575</v>
      </c>
      <c r="D457" s="60" t="s">
        <v>204</v>
      </c>
      <c r="E457" s="214"/>
      <c r="F457" s="215"/>
      <c r="G457" s="211"/>
      <c r="H457" s="304">
        <f>H458+H463</f>
        <v>99270</v>
      </c>
      <c r="I457" s="347"/>
      <c r="J457" s="347"/>
      <c r="K457" s="205">
        <f>K458+K463</f>
        <v>735590.7</v>
      </c>
      <c r="L457" s="205" t="e">
        <f>L458+L463</f>
        <v>#REF!</v>
      </c>
      <c r="M457" s="450" t="s">
        <v>1164</v>
      </c>
      <c r="N457" s="136" t="e">
        <f>IF(ISNA(MATCH(C457,#REF!,0)),"",INDEX(#REF!,MATCH(C457,#REF!,0)))</f>
        <v>#REF!</v>
      </c>
      <c r="O457" s="137" t="e">
        <f>SUMIF(#REF!,C457,#REF!)</f>
        <v>#REF!</v>
      </c>
      <c r="P457" s="130" t="s">
        <v>33</v>
      </c>
    </row>
    <row r="458" spans="1:16" x14ac:dyDescent="0.3">
      <c r="A458" s="50"/>
      <c r="B458" s="134"/>
      <c r="C458" s="216" t="s">
        <v>1576</v>
      </c>
      <c r="D458" s="232" t="s">
        <v>721</v>
      </c>
      <c r="E458" s="233"/>
      <c r="F458" s="234"/>
      <c r="G458" s="235"/>
      <c r="H458" s="301">
        <f>SUM(H459:H462)</f>
        <v>43683</v>
      </c>
      <c r="I458" s="343"/>
      <c r="J458" s="343"/>
      <c r="K458" s="236">
        <f>SUM(K459:K462)</f>
        <v>323691.02999999997</v>
      </c>
      <c r="L458" s="236" t="e">
        <f>SUM(L459:L462)</f>
        <v>#REF!</v>
      </c>
      <c r="M458" s="450"/>
      <c r="N458" s="126" t="e">
        <f>IF(ISNA(MATCH(C458,#REF!,0)),"",INDEX(#REF!,MATCH(C458,#REF!,0)))</f>
        <v>#REF!</v>
      </c>
      <c r="O458" s="127" t="e">
        <f>SUMIF(#REF!,C458,#REF!)</f>
        <v>#REF!</v>
      </c>
      <c r="P458" s="127" t="s">
        <v>33</v>
      </c>
    </row>
    <row r="459" spans="1:16" ht="39" x14ac:dyDescent="0.3">
      <c r="A459" s="50"/>
      <c r="B459" s="134"/>
      <c r="C459" s="201" t="s">
        <v>1577</v>
      </c>
      <c r="D459" s="182" t="s">
        <v>200</v>
      </c>
      <c r="E459" s="259" t="s">
        <v>722</v>
      </c>
      <c r="F459" s="316">
        <f>0.404+0.909</f>
        <v>1.3130000000000002</v>
      </c>
      <c r="G459" s="207">
        <f>K459/F459</f>
        <v>24340.693069306926</v>
      </c>
      <c r="H459" s="243">
        <f>186+645+3043+439</f>
        <v>4313</v>
      </c>
      <c r="I459" s="354"/>
      <c r="J459" s="354"/>
      <c r="K459" s="186">
        <f>H459*$C$4*$C$5</f>
        <v>31959.329999999998</v>
      </c>
      <c r="L459" s="321" t="e">
        <f>IF(N459="поставка Заказчика",N459,K459)</f>
        <v>#REF!</v>
      </c>
      <c r="M459" s="450"/>
      <c r="N459" s="131" t="e">
        <f>IF(ISNA(MATCH(C459,#REF!,0)),"",INDEX(#REF!,MATCH(C459,#REF!,0)))</f>
        <v>#REF!</v>
      </c>
      <c r="O459" s="114" t="e">
        <f>SUMIF(#REF!,C459,#REF!)</f>
        <v>#REF!</v>
      </c>
      <c r="P459" s="114" t="s">
        <v>33</v>
      </c>
    </row>
    <row r="460" spans="1:16" x14ac:dyDescent="0.3">
      <c r="A460" s="50"/>
      <c r="B460" s="134"/>
      <c r="C460" s="201" t="s">
        <v>1578</v>
      </c>
      <c r="D460" s="182" t="s">
        <v>1743</v>
      </c>
      <c r="E460" s="190" t="s">
        <v>701</v>
      </c>
      <c r="F460" s="316">
        <v>20</v>
      </c>
      <c r="G460" s="207">
        <f>K460/F460</f>
        <v>209.33249999999998</v>
      </c>
      <c r="H460" s="243">
        <f>345+220</f>
        <v>565</v>
      </c>
      <c r="I460" s="354"/>
      <c r="J460" s="354"/>
      <c r="K460" s="186">
        <f>H460*$C$4*$C$5</f>
        <v>4186.6499999999996</v>
      </c>
      <c r="L460" s="321" t="e">
        <f>IF(N460="поставка Заказчика",N460,K460)</f>
        <v>#REF!</v>
      </c>
      <c r="M460" s="450"/>
      <c r="N460" s="319" t="e">
        <f>IF(ISNA(MATCH(C460,#REF!,0)),"",INDEX(#REF!,MATCH(C460,#REF!,0)))</f>
        <v>#REF!</v>
      </c>
      <c r="O460" s="113" t="e">
        <f>SUMIF(#REF!,C460,#REF!)</f>
        <v>#REF!</v>
      </c>
      <c r="P460" s="113" t="s">
        <v>33</v>
      </c>
    </row>
    <row r="461" spans="1:16" ht="26" x14ac:dyDescent="0.3">
      <c r="A461" s="50"/>
      <c r="B461" s="134"/>
      <c r="C461" s="201" t="s">
        <v>1579</v>
      </c>
      <c r="D461" s="182" t="s">
        <v>201</v>
      </c>
      <c r="E461" s="259" t="s">
        <v>971</v>
      </c>
      <c r="F461" s="316">
        <v>184.83</v>
      </c>
      <c r="G461" s="207">
        <f>K461/F461</f>
        <v>1442.1095601363413</v>
      </c>
      <c r="H461" s="243">
        <f>22932+13041-2</f>
        <v>35971</v>
      </c>
      <c r="I461" s="354"/>
      <c r="J461" s="354"/>
      <c r="K461" s="186">
        <f>H461*$C$4*$C$5</f>
        <v>266545.11</v>
      </c>
      <c r="L461" s="321" t="e">
        <f>IF(N461="поставка Заказчика",N461,K461)</f>
        <v>#REF!</v>
      </c>
      <c r="M461" s="450"/>
      <c r="N461" s="131" t="e">
        <f>IF(ISNA(MATCH(C461,#REF!,0)),"",INDEX(#REF!,MATCH(C461,#REF!,0)))</f>
        <v>#REF!</v>
      </c>
      <c r="O461" s="114" t="e">
        <f>SUMIF(#REF!,C461,#REF!)</f>
        <v>#REF!</v>
      </c>
      <c r="P461" s="114" t="s">
        <v>33</v>
      </c>
    </row>
    <row r="462" spans="1:16" x14ac:dyDescent="0.3">
      <c r="A462" s="50"/>
      <c r="B462" s="134"/>
      <c r="C462" s="201"/>
      <c r="D462" s="182" t="s">
        <v>705</v>
      </c>
      <c r="E462" s="190" t="s">
        <v>701</v>
      </c>
      <c r="F462" s="316">
        <v>88.635999999999996</v>
      </c>
      <c r="G462" s="207">
        <f>K462/F462</f>
        <v>236.92337199332098</v>
      </c>
      <c r="H462" s="243">
        <f>1611+1223</f>
        <v>2834</v>
      </c>
      <c r="I462" s="354"/>
      <c r="J462" s="354"/>
      <c r="K462" s="186">
        <f>H462*$C$4*$C$5</f>
        <v>20999.94</v>
      </c>
      <c r="L462" s="321" t="e">
        <f>IF(N462="поставка Заказчика",N462,K462)</f>
        <v>#REF!</v>
      </c>
      <c r="M462" s="450"/>
      <c r="N462" s="319" t="e">
        <f>IF(ISNA(MATCH(C462,#REF!,0)),"",INDEX(#REF!,MATCH(C462,#REF!,0)))</f>
        <v>#REF!</v>
      </c>
      <c r="O462" s="113" t="e">
        <f>SUMIF(#REF!,C462,#REF!)</f>
        <v>#REF!</v>
      </c>
      <c r="P462" s="113" t="s">
        <v>33</v>
      </c>
    </row>
    <row r="463" spans="1:16" x14ac:dyDescent="0.3">
      <c r="A463" s="50"/>
      <c r="B463" s="134"/>
      <c r="C463" s="216" t="s">
        <v>1580</v>
      </c>
      <c r="D463" s="232" t="s">
        <v>1705</v>
      </c>
      <c r="E463" s="233"/>
      <c r="F463" s="234"/>
      <c r="G463" s="235"/>
      <c r="H463" s="301">
        <f>SUM(H464:H472)</f>
        <v>55587</v>
      </c>
      <c r="I463" s="343"/>
      <c r="J463" s="343"/>
      <c r="K463" s="236">
        <f>SUM(K464:K472)</f>
        <v>411899.67</v>
      </c>
      <c r="L463" s="236" t="e">
        <f>SUM(L464:L472)</f>
        <v>#REF!</v>
      </c>
      <c r="M463" s="450"/>
      <c r="N463" s="126" t="e">
        <f>IF(ISNA(MATCH(C463,#REF!,0)),"",INDEX(#REF!,MATCH(C463,#REF!,0)))</f>
        <v>#REF!</v>
      </c>
      <c r="O463" s="127" t="e">
        <f>SUMIF(#REF!,C463,#REF!)</f>
        <v>#REF!</v>
      </c>
      <c r="P463" s="127" t="s">
        <v>33</v>
      </c>
    </row>
    <row r="464" spans="1:16" ht="26" x14ac:dyDescent="0.3">
      <c r="A464" s="50"/>
      <c r="B464" s="134"/>
      <c r="C464" s="201" t="s">
        <v>1581</v>
      </c>
      <c r="D464" s="58" t="s">
        <v>714</v>
      </c>
      <c r="E464" s="200" t="s">
        <v>969</v>
      </c>
      <c r="F464" s="316">
        <v>0.13900000000000001</v>
      </c>
      <c r="G464" s="207">
        <f>K464/F464</f>
        <v>313778.84892086324</v>
      </c>
      <c r="H464" s="187">
        <f>5884+2</f>
        <v>5886</v>
      </c>
      <c r="I464" s="244"/>
      <c r="J464" s="244"/>
      <c r="K464" s="186">
        <f>H464*$C$4*$C$5</f>
        <v>43615.259999999995</v>
      </c>
      <c r="L464" s="321" t="e">
        <f>IF(N464="поставка Заказчика",N464,K464)</f>
        <v>#REF!</v>
      </c>
      <c r="M464" s="450"/>
      <c r="N464" s="131" t="e">
        <f>IF(ISNA(MATCH(C464,#REF!,0)),"",INDEX(#REF!,MATCH(C464,#REF!,0)))</f>
        <v>#REF!</v>
      </c>
      <c r="O464" s="114" t="e">
        <f>SUMIF(#REF!,C464,#REF!)</f>
        <v>#REF!</v>
      </c>
      <c r="P464" s="114" t="s">
        <v>33</v>
      </c>
    </row>
    <row r="465" spans="1:16" x14ac:dyDescent="0.3">
      <c r="A465" s="50"/>
      <c r="B465" s="134"/>
      <c r="C465" s="201"/>
      <c r="D465" s="58" t="s">
        <v>716</v>
      </c>
      <c r="E465" s="200"/>
      <c r="F465" s="316"/>
      <c r="G465" s="207"/>
      <c r="H465" s="243"/>
      <c r="I465" s="354"/>
      <c r="J465" s="354"/>
      <c r="K465" s="186"/>
      <c r="L465" s="186" t="e">
        <f>K465-O465</f>
        <v>#REF!</v>
      </c>
      <c r="M465" s="450"/>
      <c r="N465" s="131" t="e">
        <f>IF(ISNA(MATCH(C465,#REF!,0)),"",INDEX(#REF!,MATCH(C465,#REF!,0)))</f>
        <v>#REF!</v>
      </c>
      <c r="O465" s="114" t="e">
        <f>SUMIF(#REF!,C465,#REF!)</f>
        <v>#REF!</v>
      </c>
      <c r="P465" s="114" t="s">
        <v>33</v>
      </c>
    </row>
    <row r="466" spans="1:16" ht="26" x14ac:dyDescent="0.3">
      <c r="A466" s="50"/>
      <c r="B466" s="134"/>
      <c r="C466" s="201" t="s">
        <v>1582</v>
      </c>
      <c r="D466" s="58" t="s">
        <v>717</v>
      </c>
      <c r="E466" s="200" t="s">
        <v>977</v>
      </c>
      <c r="F466" s="316">
        <v>1.1779999999999999</v>
      </c>
      <c r="G466" s="207">
        <f t="shared" ref="G466:G472" si="85">K466/F466</f>
        <v>2880.9677419354844</v>
      </c>
      <c r="H466" s="187">
        <v>458</v>
      </c>
      <c r="I466" s="244"/>
      <c r="J466" s="244"/>
      <c r="K466" s="186">
        <f t="shared" ref="K466:K472" si="86">H466*$C$4*$C$5</f>
        <v>3393.78</v>
      </c>
      <c r="L466" s="321" t="e">
        <f t="shared" ref="L466:L472" si="87">IF(N466="поставка Заказчика",N466,K466)</f>
        <v>#REF!</v>
      </c>
      <c r="M466" s="450"/>
      <c r="N466" s="131" t="e">
        <f>IF(ISNA(MATCH(C466,#REF!,0)),"",INDEX(#REF!,MATCH(C466,#REF!,0)))</f>
        <v>#REF!</v>
      </c>
      <c r="O466" s="114" t="e">
        <f>SUMIF(#REF!,C466,#REF!)</f>
        <v>#REF!</v>
      </c>
      <c r="P466" s="114" t="s">
        <v>33</v>
      </c>
    </row>
    <row r="467" spans="1:16" ht="26" x14ac:dyDescent="0.3">
      <c r="A467" s="50"/>
      <c r="B467" s="134"/>
      <c r="C467" s="201" t="s">
        <v>1583</v>
      </c>
      <c r="D467" s="58" t="s">
        <v>718</v>
      </c>
      <c r="E467" s="200" t="s">
        <v>977</v>
      </c>
      <c r="F467" s="316">
        <v>1.1779999999999999</v>
      </c>
      <c r="G467" s="207">
        <f t="shared" si="85"/>
        <v>10511.129032258064</v>
      </c>
      <c r="H467" s="187">
        <v>1671</v>
      </c>
      <c r="I467" s="244"/>
      <c r="J467" s="244"/>
      <c r="K467" s="186">
        <f t="shared" si="86"/>
        <v>12382.109999999999</v>
      </c>
      <c r="L467" s="321" t="e">
        <f t="shared" si="87"/>
        <v>#REF!</v>
      </c>
      <c r="M467" s="450"/>
      <c r="N467" s="131" t="e">
        <f>IF(ISNA(MATCH(C467,#REF!,0)),"",INDEX(#REF!,MATCH(C467,#REF!,0)))</f>
        <v>#REF!</v>
      </c>
      <c r="O467" s="114" t="e">
        <f>SUMIF(#REF!,C467,#REF!)</f>
        <v>#REF!</v>
      </c>
      <c r="P467" s="114" t="s">
        <v>33</v>
      </c>
    </row>
    <row r="468" spans="1:16" x14ac:dyDescent="0.3">
      <c r="A468" s="50"/>
      <c r="B468" s="134"/>
      <c r="C468" s="201" t="s">
        <v>1584</v>
      </c>
      <c r="D468" s="221" t="s">
        <v>202</v>
      </c>
      <c r="E468" s="230" t="s">
        <v>1176</v>
      </c>
      <c r="F468" s="316">
        <v>0.16500000000000001</v>
      </c>
      <c r="G468" s="207">
        <f t="shared" si="85"/>
        <v>221401.81818181815</v>
      </c>
      <c r="H468" s="191">
        <v>4930</v>
      </c>
      <c r="I468" s="346"/>
      <c r="J468" s="346"/>
      <c r="K468" s="186">
        <f t="shared" si="86"/>
        <v>36531.299999999996</v>
      </c>
      <c r="L468" s="321" t="e">
        <f t="shared" si="87"/>
        <v>#REF!</v>
      </c>
      <c r="M468" s="450"/>
      <c r="N468" s="131" t="e">
        <f>IF(ISNA(MATCH(C468,#REF!,0)),"",INDEX(#REF!,MATCH(C468,#REF!,0)))</f>
        <v>#REF!</v>
      </c>
      <c r="O468" s="114" t="e">
        <f>SUMIF(#REF!,C468,#REF!)</f>
        <v>#REF!</v>
      </c>
      <c r="P468" s="114" t="s">
        <v>33</v>
      </c>
    </row>
    <row r="469" spans="1:16" x14ac:dyDescent="0.3">
      <c r="A469" s="50"/>
      <c r="B469" s="152"/>
      <c r="C469" s="201" t="s">
        <v>1585</v>
      </c>
      <c r="D469" s="221" t="s">
        <v>719</v>
      </c>
      <c r="E469" s="230" t="s">
        <v>1176</v>
      </c>
      <c r="F469" s="316">
        <v>6.5880000000000001</v>
      </c>
      <c r="G469" s="207">
        <f t="shared" si="85"/>
        <v>16537.52732240437</v>
      </c>
      <c r="H469" s="191">
        <v>14703</v>
      </c>
      <c r="I469" s="346"/>
      <c r="J469" s="346"/>
      <c r="K469" s="186">
        <f t="shared" si="86"/>
        <v>108949.22999999998</v>
      </c>
      <c r="L469" s="321" t="e">
        <f t="shared" si="87"/>
        <v>#REF!</v>
      </c>
      <c r="M469" s="450"/>
      <c r="N469" s="131" t="e">
        <f>IF(ISNA(MATCH(C469,#REF!,0)),"",INDEX(#REF!,MATCH(C469,#REF!,0)))</f>
        <v>#REF!</v>
      </c>
      <c r="O469" s="114" t="e">
        <f>SUMIF(#REF!,C469,#REF!)</f>
        <v>#REF!</v>
      </c>
      <c r="P469" s="114" t="s">
        <v>33</v>
      </c>
    </row>
    <row r="470" spans="1:16" ht="26" x14ac:dyDescent="0.3">
      <c r="A470" s="50"/>
      <c r="B470" s="152"/>
      <c r="C470" s="201" t="s">
        <v>1586</v>
      </c>
      <c r="D470" s="182" t="s">
        <v>849</v>
      </c>
      <c r="E470" s="183" t="s">
        <v>977</v>
      </c>
      <c r="F470" s="316">
        <v>1.373</v>
      </c>
      <c r="G470" s="207">
        <f t="shared" si="85"/>
        <v>141712.8769118718</v>
      </c>
      <c r="H470" s="243">
        <v>26258</v>
      </c>
      <c r="I470" s="354"/>
      <c r="J470" s="354"/>
      <c r="K470" s="186">
        <f t="shared" si="86"/>
        <v>194571.78</v>
      </c>
      <c r="L470" s="321" t="e">
        <f t="shared" si="87"/>
        <v>#REF!</v>
      </c>
      <c r="M470" s="450"/>
      <c r="N470" s="123" t="e">
        <f>IF(ISNA(MATCH(C470,#REF!,0)),"",INDEX(#REF!,MATCH(C470,#REF!,0)))</f>
        <v>#REF!</v>
      </c>
      <c r="O470" s="124" t="e">
        <f>SUMIF(#REF!,C470,#REF!)</f>
        <v>#REF!</v>
      </c>
      <c r="P470" s="124" t="s">
        <v>33</v>
      </c>
    </row>
    <row r="471" spans="1:16" ht="39" x14ac:dyDescent="0.3">
      <c r="A471" s="50"/>
      <c r="B471" s="152"/>
      <c r="C471" s="201" t="s">
        <v>1587</v>
      </c>
      <c r="D471" s="260" t="s">
        <v>850</v>
      </c>
      <c r="E471" s="231" t="s">
        <v>977</v>
      </c>
      <c r="F471" s="316">
        <v>0.93069999999999997</v>
      </c>
      <c r="G471" s="207">
        <f t="shared" si="85"/>
        <v>2874.1914687869344</v>
      </c>
      <c r="H471" s="243">
        <v>361</v>
      </c>
      <c r="I471" s="354"/>
      <c r="J471" s="354"/>
      <c r="K471" s="186">
        <f t="shared" si="86"/>
        <v>2675.0099999999998</v>
      </c>
      <c r="L471" s="321" t="e">
        <f t="shared" si="87"/>
        <v>#REF!</v>
      </c>
      <c r="M471" s="450"/>
      <c r="N471" s="123" t="e">
        <f>IF(ISNA(MATCH(C471,#REF!,0)),"",INDEX(#REF!,MATCH(C471,#REF!,0)))</f>
        <v>#REF!</v>
      </c>
      <c r="O471" s="124" t="e">
        <f>SUMIF(#REF!,C471,#REF!)</f>
        <v>#REF!</v>
      </c>
      <c r="P471" s="124" t="s">
        <v>33</v>
      </c>
    </row>
    <row r="472" spans="1:16" ht="39" x14ac:dyDescent="0.3">
      <c r="A472" s="50"/>
      <c r="B472" s="134"/>
      <c r="C472" s="201" t="s">
        <v>1588</v>
      </c>
      <c r="D472" s="182" t="s">
        <v>851</v>
      </c>
      <c r="E472" s="183" t="s">
        <v>977</v>
      </c>
      <c r="F472" s="316">
        <v>0.93069999999999997</v>
      </c>
      <c r="G472" s="207">
        <f t="shared" si="85"/>
        <v>10509.508971741699</v>
      </c>
      <c r="H472" s="243">
        <v>1320</v>
      </c>
      <c r="I472" s="354"/>
      <c r="J472" s="354"/>
      <c r="K472" s="186">
        <f t="shared" si="86"/>
        <v>9781.1999999999989</v>
      </c>
      <c r="L472" s="321" t="e">
        <f t="shared" si="87"/>
        <v>#REF!</v>
      </c>
      <c r="M472" s="450"/>
      <c r="N472" s="123" t="e">
        <f>IF(ISNA(MATCH(C472,#REF!,0)),"",INDEX(#REF!,MATCH(C472,#REF!,0)))</f>
        <v>#REF!</v>
      </c>
      <c r="O472" s="124" t="e">
        <f>SUMIF(#REF!,C472,#REF!)</f>
        <v>#REF!</v>
      </c>
      <c r="P472" s="124" t="s">
        <v>33</v>
      </c>
    </row>
    <row r="473" spans="1:16" x14ac:dyDescent="0.3">
      <c r="A473" s="50"/>
      <c r="B473" s="128" t="s">
        <v>203</v>
      </c>
      <c r="C473" s="213" t="s">
        <v>1589</v>
      </c>
      <c r="D473" s="60" t="s">
        <v>205</v>
      </c>
      <c r="E473" s="214"/>
      <c r="F473" s="215"/>
      <c r="G473" s="211"/>
      <c r="H473" s="304">
        <f>H474+H477+H488</f>
        <v>182072</v>
      </c>
      <c r="I473" s="347"/>
      <c r="J473" s="347"/>
      <c r="K473" s="205">
        <f>K474+K477+K488</f>
        <v>1349153.52</v>
      </c>
      <c r="L473" s="205" t="e">
        <f>L474+L477+L488</f>
        <v>#REF!</v>
      </c>
      <c r="M473" s="450" t="s">
        <v>1164</v>
      </c>
      <c r="N473" s="136" t="e">
        <f>IF(ISNA(MATCH(C473,#REF!,0)),"",INDEX(#REF!,MATCH(C473,#REF!,0)))</f>
        <v>#REF!</v>
      </c>
      <c r="O473" s="137" t="e">
        <f>SUMIF(#REF!,C473,#REF!)</f>
        <v>#REF!</v>
      </c>
      <c r="P473" s="130" t="s">
        <v>34</v>
      </c>
    </row>
    <row r="474" spans="1:16" x14ac:dyDescent="0.3">
      <c r="A474" s="50"/>
      <c r="B474" s="134"/>
      <c r="C474" s="216" t="s">
        <v>1590</v>
      </c>
      <c r="D474" s="232" t="s">
        <v>206</v>
      </c>
      <c r="E474" s="233"/>
      <c r="F474" s="234"/>
      <c r="G474" s="235"/>
      <c r="H474" s="301">
        <f>SUM(H475:H476)</f>
        <v>325</v>
      </c>
      <c r="I474" s="343"/>
      <c r="J474" s="343"/>
      <c r="K474" s="236">
        <f>SUM(K475:K476)</f>
        <v>2408.25</v>
      </c>
      <c r="L474" s="236" t="e">
        <f>SUM(L475:L476)</f>
        <v>#REF!</v>
      </c>
      <c r="M474" s="450"/>
      <c r="N474" s="126" t="e">
        <f>IF(ISNA(MATCH(C474,#REF!,0)),"",INDEX(#REF!,MATCH(C474,#REF!,0)))</f>
        <v>#REF!</v>
      </c>
      <c r="O474" s="127" t="e">
        <f>SUMIF(#REF!,C474,#REF!)</f>
        <v>#REF!</v>
      </c>
      <c r="P474" s="127" t="s">
        <v>34</v>
      </c>
    </row>
    <row r="475" spans="1:16" ht="26" x14ac:dyDescent="0.3">
      <c r="A475" s="50"/>
      <c r="B475" s="134"/>
      <c r="C475" s="201" t="s">
        <v>1591</v>
      </c>
      <c r="D475" s="182" t="s">
        <v>207</v>
      </c>
      <c r="E475" s="190" t="s">
        <v>840</v>
      </c>
      <c r="F475" s="316">
        <v>2.4365999999999999E-2</v>
      </c>
      <c r="G475" s="207">
        <f>K475/F475</f>
        <v>28586.555035705493</v>
      </c>
      <c r="H475" s="243">
        <v>94</v>
      </c>
      <c r="I475" s="354"/>
      <c r="J475" s="354"/>
      <c r="K475" s="186">
        <f>H475*$C$4*$C$5</f>
        <v>696.54</v>
      </c>
      <c r="L475" s="321" t="e">
        <f>IF(N475="поставка Заказчика",N475,K475)</f>
        <v>#REF!</v>
      </c>
      <c r="M475" s="450"/>
      <c r="N475" s="319" t="e">
        <f>IF(ISNA(MATCH(C475,#REF!,0)),"",INDEX(#REF!,MATCH(C475,#REF!,0)))</f>
        <v>#REF!</v>
      </c>
      <c r="O475" s="113" t="e">
        <f>SUMIF(#REF!,C475,#REF!)</f>
        <v>#REF!</v>
      </c>
      <c r="P475" s="113" t="s">
        <v>34</v>
      </c>
    </row>
    <row r="476" spans="1:16" ht="52" x14ac:dyDescent="0.3">
      <c r="A476" s="50"/>
      <c r="B476" s="134"/>
      <c r="C476" s="201" t="s">
        <v>1592</v>
      </c>
      <c r="D476" s="224" t="s">
        <v>85</v>
      </c>
      <c r="E476" s="200" t="s">
        <v>826</v>
      </c>
      <c r="F476" s="316">
        <v>7.5399999999999998E-3</v>
      </c>
      <c r="G476" s="207">
        <f>K476/F476</f>
        <v>227017.24137931032</v>
      </c>
      <c r="H476" s="243">
        <f>29+17+15+14+155+1</f>
        <v>231</v>
      </c>
      <c r="I476" s="354"/>
      <c r="J476" s="354"/>
      <c r="K476" s="186">
        <f>H476*$C$4*$C$5</f>
        <v>1711.7099999999998</v>
      </c>
      <c r="L476" s="321" t="e">
        <f>IF(N476="поставка Заказчика",N476,K476)</f>
        <v>#REF!</v>
      </c>
      <c r="M476" s="450"/>
      <c r="N476" s="131" t="e">
        <f>IF(ISNA(MATCH(C476,#REF!,0)),"",INDEX(#REF!,MATCH(C476,#REF!,0)))</f>
        <v>#REF!</v>
      </c>
      <c r="O476" s="114" t="e">
        <f>SUMIF(#REF!,C476,#REF!)</f>
        <v>#REF!</v>
      </c>
      <c r="P476" s="114" t="s">
        <v>34</v>
      </c>
    </row>
    <row r="477" spans="1:16" x14ac:dyDescent="0.3">
      <c r="A477" s="50"/>
      <c r="B477" s="134"/>
      <c r="C477" s="216" t="s">
        <v>1593</v>
      </c>
      <c r="D477" s="232" t="s">
        <v>721</v>
      </c>
      <c r="E477" s="233"/>
      <c r="F477" s="234"/>
      <c r="G477" s="235"/>
      <c r="H477" s="301">
        <f>SUM(H478:H487)</f>
        <v>126484</v>
      </c>
      <c r="I477" s="343"/>
      <c r="J477" s="343"/>
      <c r="K477" s="236">
        <f>SUM(K478:K487)</f>
        <v>937246.44</v>
      </c>
      <c r="L477" s="236" t="e">
        <f>SUM(L478:L487)</f>
        <v>#REF!</v>
      </c>
      <c r="M477" s="450"/>
      <c r="N477" s="126" t="e">
        <f>IF(ISNA(MATCH(C477,#REF!,0)),"",INDEX(#REF!,MATCH(C477,#REF!,0)))</f>
        <v>#REF!</v>
      </c>
      <c r="O477" s="127" t="e">
        <f>SUMIF(#REF!,C477,#REF!)</f>
        <v>#REF!</v>
      </c>
      <c r="P477" s="127" t="s">
        <v>34</v>
      </c>
    </row>
    <row r="478" spans="1:16" ht="52" x14ac:dyDescent="0.3">
      <c r="A478" s="50"/>
      <c r="B478" s="134"/>
      <c r="C478" s="201" t="s">
        <v>1193</v>
      </c>
      <c r="D478" s="182" t="s">
        <v>208</v>
      </c>
      <c r="E478" s="259" t="s">
        <v>970</v>
      </c>
      <c r="F478" s="316">
        <v>12</v>
      </c>
      <c r="G478" s="207">
        <f t="shared" ref="G478:G487" si="88">K478/F478</f>
        <v>7797.1724999999997</v>
      </c>
      <c r="H478" s="243">
        <f>11620+1006+1</f>
        <v>12627</v>
      </c>
      <c r="I478" s="354"/>
      <c r="J478" s="354"/>
      <c r="K478" s="186">
        <f t="shared" ref="K478:K487" si="89">H478*$C$4*$C$5</f>
        <v>93566.069999999992</v>
      </c>
      <c r="L478" s="321" t="e">
        <f t="shared" ref="L478:L487" si="90">IF(N478="поставка Заказчика",N478,K478)</f>
        <v>#REF!</v>
      </c>
      <c r="M478" s="450"/>
      <c r="N478" s="131" t="e">
        <f>IF(ISNA(MATCH(C478,#REF!,0)),"",INDEX(#REF!,MATCH(C478,#REF!,0)))</f>
        <v>#REF!</v>
      </c>
      <c r="O478" s="114" t="e">
        <f>SUMIF(#REF!,C478,#REF!)</f>
        <v>#REF!</v>
      </c>
      <c r="P478" s="114" t="s">
        <v>34</v>
      </c>
    </row>
    <row r="479" spans="1:16" ht="65" x14ac:dyDescent="0.3">
      <c r="A479" s="50"/>
      <c r="B479" s="134"/>
      <c r="C479" s="201" t="s">
        <v>1194</v>
      </c>
      <c r="D479" s="182" t="s">
        <v>78</v>
      </c>
      <c r="E479" s="259" t="s">
        <v>970</v>
      </c>
      <c r="F479" s="316">
        <v>14</v>
      </c>
      <c r="G479" s="207">
        <f t="shared" si="88"/>
        <v>13634.929285714285</v>
      </c>
      <c r="H479" s="243">
        <f>23537+2224</f>
        <v>25761</v>
      </c>
      <c r="I479" s="354"/>
      <c r="J479" s="354"/>
      <c r="K479" s="186">
        <f t="shared" si="89"/>
        <v>190889.00999999998</v>
      </c>
      <c r="L479" s="321" t="e">
        <f t="shared" si="90"/>
        <v>#REF!</v>
      </c>
      <c r="M479" s="450"/>
      <c r="N479" s="131" t="e">
        <f>IF(ISNA(MATCH(C479,#REF!,0)),"",INDEX(#REF!,MATCH(C479,#REF!,0)))</f>
        <v>#REF!</v>
      </c>
      <c r="O479" s="114" t="e">
        <f>SUMIF(#REF!,C479,#REF!)</f>
        <v>#REF!</v>
      </c>
      <c r="P479" s="114" t="s">
        <v>34</v>
      </c>
    </row>
    <row r="480" spans="1:16" ht="65" x14ac:dyDescent="0.3">
      <c r="A480" s="50"/>
      <c r="B480" s="134"/>
      <c r="C480" s="201" t="s">
        <v>1195</v>
      </c>
      <c r="D480" s="182" t="s">
        <v>209</v>
      </c>
      <c r="E480" s="259" t="s">
        <v>970</v>
      </c>
      <c r="F480" s="316">
        <v>2</v>
      </c>
      <c r="G480" s="207">
        <f t="shared" si="88"/>
        <v>23708.294999999998</v>
      </c>
      <c r="H480" s="243">
        <f>5897+502</f>
        <v>6399</v>
      </c>
      <c r="I480" s="354"/>
      <c r="J480" s="354"/>
      <c r="K480" s="186">
        <f t="shared" si="89"/>
        <v>47416.59</v>
      </c>
      <c r="L480" s="321" t="e">
        <f t="shared" si="90"/>
        <v>#REF!</v>
      </c>
      <c r="M480" s="450"/>
      <c r="N480" s="131" t="e">
        <f>IF(ISNA(MATCH(C480,#REF!,0)),"",INDEX(#REF!,MATCH(C480,#REF!,0)))</f>
        <v>#REF!</v>
      </c>
      <c r="O480" s="114" t="e">
        <f>SUMIF(#REF!,C480,#REF!)</f>
        <v>#REF!</v>
      </c>
      <c r="P480" s="114" t="s">
        <v>34</v>
      </c>
    </row>
    <row r="481" spans="1:16" ht="52" x14ac:dyDescent="0.3">
      <c r="A481" s="50"/>
      <c r="B481" s="134"/>
      <c r="C481" s="201" t="s">
        <v>1594</v>
      </c>
      <c r="D481" s="182" t="s">
        <v>210</v>
      </c>
      <c r="E481" s="259" t="s">
        <v>970</v>
      </c>
      <c r="F481" s="316">
        <f>12+14+2</f>
        <v>28</v>
      </c>
      <c r="G481" s="207">
        <f t="shared" si="88"/>
        <v>10866.500357142855</v>
      </c>
      <c r="H481" s="243">
        <f>9137+1345+21319+2591+6099+570</f>
        <v>41061</v>
      </c>
      <c r="I481" s="354"/>
      <c r="J481" s="354"/>
      <c r="K481" s="186">
        <f t="shared" si="89"/>
        <v>304262.00999999995</v>
      </c>
      <c r="L481" s="321" t="e">
        <f t="shared" si="90"/>
        <v>#REF!</v>
      </c>
      <c r="M481" s="450"/>
      <c r="N481" s="131" t="e">
        <f>IF(ISNA(MATCH(C481,#REF!,0)),"",INDEX(#REF!,MATCH(C481,#REF!,0)))</f>
        <v>#REF!</v>
      </c>
      <c r="O481" s="114" t="e">
        <f>SUMIF(#REF!,C481,#REF!)</f>
        <v>#REF!</v>
      </c>
      <c r="P481" s="114" t="s">
        <v>34</v>
      </c>
    </row>
    <row r="482" spans="1:16" ht="26" x14ac:dyDescent="0.3">
      <c r="A482" s="50"/>
      <c r="B482" s="134"/>
      <c r="C482" s="201" t="s">
        <v>1595</v>
      </c>
      <c r="D482" s="260" t="s">
        <v>1741</v>
      </c>
      <c r="E482" s="261" t="s">
        <v>722</v>
      </c>
      <c r="F482" s="316">
        <v>1.4139999999999999</v>
      </c>
      <c r="G482" s="207">
        <f t="shared" si="88"/>
        <v>28387.531824611029</v>
      </c>
      <c r="H482" s="243">
        <f>4733+684</f>
        <v>5417</v>
      </c>
      <c r="I482" s="354"/>
      <c r="J482" s="354"/>
      <c r="K482" s="186">
        <f t="shared" si="89"/>
        <v>40139.969999999994</v>
      </c>
      <c r="L482" s="321" t="e">
        <f t="shared" si="90"/>
        <v>#REF!</v>
      </c>
      <c r="M482" s="450"/>
      <c r="N482" s="131" t="e">
        <f>IF(ISNA(MATCH(C482,#REF!,0)),"",INDEX(#REF!,MATCH(C482,#REF!,0)))</f>
        <v>#REF!</v>
      </c>
      <c r="O482" s="114" t="e">
        <f>SUMIF(#REF!,C482,#REF!)</f>
        <v>#REF!</v>
      </c>
      <c r="P482" s="114" t="s">
        <v>34</v>
      </c>
    </row>
    <row r="483" spans="1:16" x14ac:dyDescent="0.3">
      <c r="A483" s="50"/>
      <c r="B483" s="134"/>
      <c r="C483" s="201" t="s">
        <v>1596</v>
      </c>
      <c r="D483" s="182" t="s">
        <v>1742</v>
      </c>
      <c r="E483" s="189" t="s">
        <v>701</v>
      </c>
      <c r="F483" s="316">
        <v>363.27300000000002</v>
      </c>
      <c r="G483" s="207">
        <f t="shared" si="88"/>
        <v>127.69074497691817</v>
      </c>
      <c r="H483" s="243">
        <v>6260</v>
      </c>
      <c r="I483" s="354"/>
      <c r="J483" s="354"/>
      <c r="K483" s="186">
        <f t="shared" si="89"/>
        <v>46386.6</v>
      </c>
      <c r="L483" s="321" t="e">
        <f t="shared" si="90"/>
        <v>#REF!</v>
      </c>
      <c r="M483" s="450"/>
      <c r="N483" s="319" t="e">
        <f>IF(ISNA(MATCH(C483,#REF!,0)),"",INDEX(#REF!,MATCH(C483,#REF!,0)))</f>
        <v>#REF!</v>
      </c>
      <c r="O483" s="113" t="e">
        <f>SUMIF(#REF!,C483,#REF!)</f>
        <v>#REF!</v>
      </c>
      <c r="P483" s="113" t="s">
        <v>34</v>
      </c>
    </row>
    <row r="484" spans="1:16" ht="26" x14ac:dyDescent="0.3">
      <c r="A484" s="50"/>
      <c r="B484" s="134"/>
      <c r="C484" s="201" t="s">
        <v>1597</v>
      </c>
      <c r="D484" s="182" t="s">
        <v>1744</v>
      </c>
      <c r="E484" s="200" t="s">
        <v>971</v>
      </c>
      <c r="F484" s="316">
        <v>97.97</v>
      </c>
      <c r="G484" s="207">
        <f t="shared" si="88"/>
        <v>754.99254873941004</v>
      </c>
      <c r="H484" s="243">
        <f>4484+5498</f>
        <v>9982</v>
      </c>
      <c r="I484" s="354"/>
      <c r="J484" s="354"/>
      <c r="K484" s="186">
        <f t="shared" si="89"/>
        <v>73966.62</v>
      </c>
      <c r="L484" s="321" t="e">
        <f t="shared" si="90"/>
        <v>#REF!</v>
      </c>
      <c r="M484" s="450"/>
      <c r="N484" s="131" t="e">
        <f>IF(ISNA(MATCH(C484,#REF!,0)),"",INDEX(#REF!,MATCH(C484,#REF!,0)))</f>
        <v>#REF!</v>
      </c>
      <c r="O484" s="114" t="e">
        <f>SUMIF(#REF!,C484,#REF!)</f>
        <v>#REF!</v>
      </c>
      <c r="P484" s="114" t="s">
        <v>34</v>
      </c>
    </row>
    <row r="485" spans="1:16" x14ac:dyDescent="0.3">
      <c r="A485" s="50"/>
      <c r="B485" s="134"/>
      <c r="C485" s="201" t="s">
        <v>1598</v>
      </c>
      <c r="D485" s="182" t="s">
        <v>1743</v>
      </c>
      <c r="E485" s="200" t="s">
        <v>701</v>
      </c>
      <c r="F485" s="316">
        <v>110.818</v>
      </c>
      <c r="G485" s="207">
        <f t="shared" si="88"/>
        <v>477.22545073904962</v>
      </c>
      <c r="H485" s="243">
        <f>1944+5193</f>
        <v>7137</v>
      </c>
      <c r="I485" s="354"/>
      <c r="J485" s="354"/>
      <c r="K485" s="186">
        <f t="shared" si="89"/>
        <v>52885.17</v>
      </c>
      <c r="L485" s="321" t="e">
        <f t="shared" si="90"/>
        <v>#REF!</v>
      </c>
      <c r="M485" s="450"/>
      <c r="N485" s="131" t="e">
        <f>IF(ISNA(MATCH(C485,#REF!,0)),"",INDEX(#REF!,MATCH(C485,#REF!,0)))</f>
        <v>#REF!</v>
      </c>
      <c r="O485" s="114" t="e">
        <f>SUMIF(#REF!,C485,#REF!)</f>
        <v>#REF!</v>
      </c>
      <c r="P485" s="114" t="s">
        <v>34</v>
      </c>
    </row>
    <row r="486" spans="1:16" ht="26" x14ac:dyDescent="0.3">
      <c r="A486" s="50"/>
      <c r="B486" s="134"/>
      <c r="C486" s="201" t="s">
        <v>1599</v>
      </c>
      <c r="D486" s="182" t="s">
        <v>201</v>
      </c>
      <c r="E486" s="200" t="s">
        <v>971</v>
      </c>
      <c r="F486" s="316">
        <v>58.58</v>
      </c>
      <c r="G486" s="207">
        <f t="shared" si="88"/>
        <v>1280.7485489928301</v>
      </c>
      <c r="H486" s="243">
        <f>6152+125+3848</f>
        <v>10125</v>
      </c>
      <c r="I486" s="354"/>
      <c r="J486" s="354"/>
      <c r="K486" s="186">
        <f t="shared" si="89"/>
        <v>75026.249999999985</v>
      </c>
      <c r="L486" s="321" t="e">
        <f t="shared" si="90"/>
        <v>#REF!</v>
      </c>
      <c r="M486" s="450"/>
      <c r="N486" s="131" t="e">
        <f>IF(ISNA(MATCH(C486,#REF!,0)),"",INDEX(#REF!,MATCH(C486,#REF!,0)))</f>
        <v>#REF!</v>
      </c>
      <c r="O486" s="114" t="e">
        <f>SUMIF(#REF!,C486,#REF!)</f>
        <v>#REF!</v>
      </c>
      <c r="P486" s="114" t="s">
        <v>34</v>
      </c>
    </row>
    <row r="487" spans="1:16" x14ac:dyDescent="0.3">
      <c r="A487" s="50"/>
      <c r="B487" s="134"/>
      <c r="C487" s="201" t="s">
        <v>1600</v>
      </c>
      <c r="D487" s="182" t="s">
        <v>705</v>
      </c>
      <c r="E487" s="189" t="s">
        <v>701</v>
      </c>
      <c r="F487" s="316">
        <v>55.273000000000003</v>
      </c>
      <c r="G487" s="207">
        <f t="shared" si="88"/>
        <v>229.91605304579087</v>
      </c>
      <c r="H487" s="243">
        <f>1004+711</f>
        <v>1715</v>
      </c>
      <c r="I487" s="354"/>
      <c r="J487" s="354"/>
      <c r="K487" s="186">
        <f t="shared" si="89"/>
        <v>12708.15</v>
      </c>
      <c r="L487" s="321" t="e">
        <f t="shared" si="90"/>
        <v>#REF!</v>
      </c>
      <c r="M487" s="450"/>
      <c r="N487" s="319" t="e">
        <f>IF(ISNA(MATCH(C487,#REF!,0)),"",INDEX(#REF!,MATCH(C487,#REF!,0)))</f>
        <v>#REF!</v>
      </c>
      <c r="O487" s="113" t="e">
        <f>SUMIF(#REF!,C487,#REF!)</f>
        <v>#REF!</v>
      </c>
      <c r="P487" s="113" t="s">
        <v>34</v>
      </c>
    </row>
    <row r="488" spans="1:16" x14ac:dyDescent="0.3">
      <c r="A488" s="50"/>
      <c r="B488" s="134"/>
      <c r="C488" s="216" t="s">
        <v>1601</v>
      </c>
      <c r="D488" s="232" t="s">
        <v>1705</v>
      </c>
      <c r="E488" s="233"/>
      <c r="F488" s="234"/>
      <c r="G488" s="235"/>
      <c r="H488" s="301">
        <f>SUM(H489:H499)</f>
        <v>55263</v>
      </c>
      <c r="I488" s="343"/>
      <c r="J488" s="343"/>
      <c r="K488" s="236">
        <f>SUM(K489:K499)</f>
        <v>409498.82999999996</v>
      </c>
      <c r="L488" s="236" t="e">
        <f>SUM(L489:L499)</f>
        <v>#REF!</v>
      </c>
      <c r="M488" s="450"/>
      <c r="N488" s="126" t="e">
        <f>IF(ISNA(MATCH(C488,#REF!,0)),"",INDEX(#REF!,MATCH(C488,#REF!,0)))</f>
        <v>#REF!</v>
      </c>
      <c r="O488" s="127" t="e">
        <f>SUMIF(#REF!,C488,#REF!)</f>
        <v>#REF!</v>
      </c>
      <c r="P488" s="127" t="s">
        <v>34</v>
      </c>
    </row>
    <row r="489" spans="1:16" ht="26" x14ac:dyDescent="0.3">
      <c r="A489" s="50"/>
      <c r="B489" s="134"/>
      <c r="C489" s="201" t="s">
        <v>1602</v>
      </c>
      <c r="D489" s="58" t="s">
        <v>714</v>
      </c>
      <c r="E489" s="200" t="s">
        <v>969</v>
      </c>
      <c r="F489" s="316">
        <v>0.54200000000000004</v>
      </c>
      <c r="G489" s="207">
        <f>K489/F489</f>
        <v>313858.61623616231</v>
      </c>
      <c r="H489" s="187">
        <f>22945+1+12-1</f>
        <v>22957</v>
      </c>
      <c r="I489" s="244"/>
      <c r="J489" s="244"/>
      <c r="K489" s="186">
        <f>H489*$C$4*$C$5</f>
        <v>170111.37</v>
      </c>
      <c r="L489" s="321" t="e">
        <f>IF(N489="поставка Заказчика",N489,K489)</f>
        <v>#REF!</v>
      </c>
      <c r="M489" s="450"/>
      <c r="N489" s="131" t="e">
        <f>IF(ISNA(MATCH(C489,#REF!,0)),"",INDEX(#REF!,MATCH(C489,#REF!,0)))</f>
        <v>#REF!</v>
      </c>
      <c r="O489" s="114" t="e">
        <f>SUMIF(#REF!,C489,#REF!)</f>
        <v>#REF!</v>
      </c>
      <c r="P489" s="114" t="s">
        <v>34</v>
      </c>
    </row>
    <row r="490" spans="1:16" x14ac:dyDescent="0.3">
      <c r="A490" s="50"/>
      <c r="B490" s="134"/>
      <c r="C490" s="201"/>
      <c r="D490" s="58" t="s">
        <v>716</v>
      </c>
      <c r="E490" s="200"/>
      <c r="F490" s="316"/>
      <c r="G490" s="207"/>
      <c r="H490" s="243"/>
      <c r="I490" s="354"/>
      <c r="J490" s="354"/>
      <c r="K490" s="186"/>
      <c r="L490" s="186" t="e">
        <f>K490-O490</f>
        <v>#REF!</v>
      </c>
      <c r="M490" s="450"/>
      <c r="N490" s="131" t="e">
        <f>IF(ISNA(MATCH(C490,#REF!,0)),"",INDEX(#REF!,MATCH(C490,#REF!,0)))</f>
        <v>#REF!</v>
      </c>
      <c r="O490" s="114" t="e">
        <f>SUMIF(#REF!,C490,#REF!)</f>
        <v>#REF!</v>
      </c>
      <c r="P490" s="114" t="s">
        <v>34</v>
      </c>
    </row>
    <row r="491" spans="1:16" ht="26" x14ac:dyDescent="0.3">
      <c r="A491" s="50"/>
      <c r="B491" s="134"/>
      <c r="C491" s="201" t="s">
        <v>1603</v>
      </c>
      <c r="D491" s="58" t="s">
        <v>717</v>
      </c>
      <c r="E491" s="200" t="s">
        <v>977</v>
      </c>
      <c r="F491" s="316">
        <v>0.41539999999999999</v>
      </c>
      <c r="G491" s="207">
        <f t="shared" ref="G491:G497" si="91">K491/F491</f>
        <v>2871.9547424169477</v>
      </c>
      <c r="H491" s="187">
        <v>161</v>
      </c>
      <c r="I491" s="244"/>
      <c r="J491" s="244"/>
      <c r="K491" s="186">
        <f t="shared" ref="K491:K497" si="92">H491*$C$4*$C$5</f>
        <v>1193.01</v>
      </c>
      <c r="L491" s="321" t="e">
        <f t="shared" ref="L491:L497" si="93">IF(N491="поставка Заказчика",N491,K491)</f>
        <v>#REF!</v>
      </c>
      <c r="M491" s="450"/>
      <c r="N491" s="131" t="e">
        <f>IF(ISNA(MATCH(C491,#REF!,0)),"",INDEX(#REF!,MATCH(C491,#REF!,0)))</f>
        <v>#REF!</v>
      </c>
      <c r="O491" s="114" t="e">
        <f>SUMIF(#REF!,C491,#REF!)</f>
        <v>#REF!</v>
      </c>
      <c r="P491" s="114" t="s">
        <v>34</v>
      </c>
    </row>
    <row r="492" spans="1:16" ht="26" x14ac:dyDescent="0.3">
      <c r="A492" s="50"/>
      <c r="B492" s="134"/>
      <c r="C492" s="201" t="s">
        <v>1604</v>
      </c>
      <c r="D492" s="58" t="s">
        <v>718</v>
      </c>
      <c r="E492" s="200" t="s">
        <v>977</v>
      </c>
      <c r="F492" s="316">
        <v>0.41539999999999999</v>
      </c>
      <c r="G492" s="207">
        <f t="shared" si="91"/>
        <v>10506.716417910447</v>
      </c>
      <c r="H492" s="187">
        <v>589</v>
      </c>
      <c r="I492" s="244"/>
      <c r="J492" s="244"/>
      <c r="K492" s="186">
        <f t="shared" si="92"/>
        <v>4364.49</v>
      </c>
      <c r="L492" s="321" t="e">
        <f t="shared" si="93"/>
        <v>#REF!</v>
      </c>
      <c r="M492" s="450"/>
      <c r="N492" s="131" t="e">
        <f>IF(ISNA(MATCH(C492,#REF!,0)),"",INDEX(#REF!,MATCH(C492,#REF!,0)))</f>
        <v>#REF!</v>
      </c>
      <c r="O492" s="114" t="e">
        <f>SUMIF(#REF!,C492,#REF!)</f>
        <v>#REF!</v>
      </c>
      <c r="P492" s="114" t="s">
        <v>34</v>
      </c>
    </row>
    <row r="493" spans="1:16" x14ac:dyDescent="0.3">
      <c r="A493" s="50"/>
      <c r="B493" s="134"/>
      <c r="C493" s="201" t="s">
        <v>1605</v>
      </c>
      <c r="D493" s="221" t="s">
        <v>202</v>
      </c>
      <c r="E493" s="230" t="s">
        <v>1176</v>
      </c>
      <c r="F493" s="316">
        <v>0.182</v>
      </c>
      <c r="G493" s="207">
        <f t="shared" si="91"/>
        <v>221444.99999999994</v>
      </c>
      <c r="H493" s="191">
        <v>5439</v>
      </c>
      <c r="I493" s="346"/>
      <c r="J493" s="346"/>
      <c r="K493" s="186">
        <f t="shared" si="92"/>
        <v>40302.989999999991</v>
      </c>
      <c r="L493" s="321" t="e">
        <f t="shared" si="93"/>
        <v>#REF!</v>
      </c>
      <c r="M493" s="450"/>
      <c r="N493" s="131" t="e">
        <f>IF(ISNA(MATCH(C493,#REF!,0)),"",INDEX(#REF!,MATCH(C493,#REF!,0)))</f>
        <v>#REF!</v>
      </c>
      <c r="O493" s="114" t="e">
        <f>SUMIF(#REF!,C493,#REF!)</f>
        <v>#REF!</v>
      </c>
      <c r="P493" s="114" t="s">
        <v>34</v>
      </c>
    </row>
    <row r="494" spans="1:16" x14ac:dyDescent="0.3">
      <c r="A494" s="50"/>
      <c r="B494" s="152"/>
      <c r="C494" s="201" t="s">
        <v>1606</v>
      </c>
      <c r="D494" s="221" t="s">
        <v>719</v>
      </c>
      <c r="E494" s="230" t="s">
        <v>1176</v>
      </c>
      <c r="F494" s="316">
        <v>3.2149999999999999</v>
      </c>
      <c r="G494" s="207">
        <f t="shared" si="91"/>
        <v>16539.396578538101</v>
      </c>
      <c r="H494" s="191">
        <v>7176</v>
      </c>
      <c r="I494" s="346"/>
      <c r="J494" s="346"/>
      <c r="K494" s="186">
        <f t="shared" si="92"/>
        <v>53174.159999999996</v>
      </c>
      <c r="L494" s="321" t="e">
        <f t="shared" si="93"/>
        <v>#REF!</v>
      </c>
      <c r="M494" s="450"/>
      <c r="N494" s="131" t="e">
        <f>IF(ISNA(MATCH(C494,#REF!,0)),"",INDEX(#REF!,MATCH(C494,#REF!,0)))</f>
        <v>#REF!</v>
      </c>
      <c r="O494" s="114" t="e">
        <f>SUMIF(#REF!,C494,#REF!)</f>
        <v>#REF!</v>
      </c>
      <c r="P494" s="114" t="s">
        <v>34</v>
      </c>
    </row>
    <row r="495" spans="1:16" ht="26" x14ac:dyDescent="0.3">
      <c r="A495" s="50"/>
      <c r="B495" s="152"/>
      <c r="C495" s="201" t="s">
        <v>1607</v>
      </c>
      <c r="D495" s="182" t="s">
        <v>849</v>
      </c>
      <c r="E495" s="183" t="s">
        <v>977</v>
      </c>
      <c r="F495" s="316">
        <v>0.92689999999999995</v>
      </c>
      <c r="G495" s="207">
        <f t="shared" si="91"/>
        <v>141740.53295932678</v>
      </c>
      <c r="H495" s="243">
        <v>17730</v>
      </c>
      <c r="I495" s="354"/>
      <c r="J495" s="354"/>
      <c r="K495" s="186">
        <f t="shared" si="92"/>
        <v>131379.29999999999</v>
      </c>
      <c r="L495" s="321" t="e">
        <f t="shared" si="93"/>
        <v>#REF!</v>
      </c>
      <c r="M495" s="450"/>
      <c r="N495" s="123" t="e">
        <f>IF(ISNA(MATCH(C495,#REF!,0)),"",INDEX(#REF!,MATCH(C495,#REF!,0)))</f>
        <v>#REF!</v>
      </c>
      <c r="O495" s="124" t="e">
        <f>SUMIF(#REF!,C495,#REF!)</f>
        <v>#REF!</v>
      </c>
      <c r="P495" s="124" t="s">
        <v>34</v>
      </c>
    </row>
    <row r="496" spans="1:16" ht="39" x14ac:dyDescent="0.3">
      <c r="A496" s="50"/>
      <c r="B496" s="152"/>
      <c r="C496" s="201" t="s">
        <v>1608</v>
      </c>
      <c r="D496" s="260" t="s">
        <v>850</v>
      </c>
      <c r="E496" s="231" t="s">
        <v>977</v>
      </c>
      <c r="F496" s="316">
        <v>0.52100000000000002</v>
      </c>
      <c r="G496" s="207">
        <f t="shared" si="91"/>
        <v>2872.9750479846443</v>
      </c>
      <c r="H496" s="243">
        <v>202</v>
      </c>
      <c r="I496" s="354"/>
      <c r="J496" s="354"/>
      <c r="K496" s="186">
        <f t="shared" si="92"/>
        <v>1496.8199999999997</v>
      </c>
      <c r="L496" s="321" t="e">
        <f t="shared" si="93"/>
        <v>#REF!</v>
      </c>
      <c r="M496" s="450"/>
      <c r="N496" s="123" t="e">
        <f>IF(ISNA(MATCH(C496,#REF!,0)),"",INDEX(#REF!,MATCH(C496,#REF!,0)))</f>
        <v>#REF!</v>
      </c>
      <c r="O496" s="124" t="e">
        <f>SUMIF(#REF!,C496,#REF!)</f>
        <v>#REF!</v>
      </c>
      <c r="P496" s="124" t="s">
        <v>34</v>
      </c>
    </row>
    <row r="497" spans="1:16" ht="39" x14ac:dyDescent="0.3">
      <c r="A497" s="50"/>
      <c r="B497" s="134"/>
      <c r="C497" s="201" t="s">
        <v>1609</v>
      </c>
      <c r="D497" s="182" t="s">
        <v>851</v>
      </c>
      <c r="E497" s="183" t="s">
        <v>977</v>
      </c>
      <c r="F497" s="316">
        <v>0.52100000000000002</v>
      </c>
      <c r="G497" s="207">
        <f t="shared" si="91"/>
        <v>10510.537428023032</v>
      </c>
      <c r="H497" s="243">
        <v>739</v>
      </c>
      <c r="I497" s="354"/>
      <c r="J497" s="354"/>
      <c r="K497" s="186">
        <f t="shared" si="92"/>
        <v>5475.99</v>
      </c>
      <c r="L497" s="321" t="e">
        <f t="shared" si="93"/>
        <v>#REF!</v>
      </c>
      <c r="M497" s="450"/>
      <c r="N497" s="123" t="e">
        <f>IF(ISNA(MATCH(C497,#REF!,0)),"",INDEX(#REF!,MATCH(C497,#REF!,0)))</f>
        <v>#REF!</v>
      </c>
      <c r="O497" s="124" t="e">
        <f>SUMIF(#REF!,C497,#REF!)</f>
        <v>#REF!</v>
      </c>
      <c r="P497" s="124" t="s">
        <v>34</v>
      </c>
    </row>
    <row r="498" spans="1:16" x14ac:dyDescent="0.3">
      <c r="A498" s="50"/>
      <c r="B498" s="134"/>
      <c r="C498" s="201" t="s">
        <v>1610</v>
      </c>
      <c r="D498" s="182" t="s">
        <v>1745</v>
      </c>
      <c r="E498" s="193"/>
      <c r="F498" s="316"/>
      <c r="G498" s="207"/>
      <c r="H498" s="243"/>
      <c r="I498" s="354"/>
      <c r="J498" s="354"/>
      <c r="K498" s="186"/>
      <c r="L498" s="186" t="e">
        <f>K498-O498</f>
        <v>#REF!</v>
      </c>
      <c r="M498" s="450"/>
      <c r="N498" s="123" t="e">
        <f>IF(ISNA(MATCH(C498,#REF!,0)),"",INDEX(#REF!,MATCH(C498,#REF!,0)))</f>
        <v>#REF!</v>
      </c>
      <c r="O498" s="124" t="e">
        <f>SUMIF(#REF!,C498,#REF!)</f>
        <v>#REF!</v>
      </c>
      <c r="P498" s="124" t="s">
        <v>34</v>
      </c>
    </row>
    <row r="499" spans="1:16" ht="39" x14ac:dyDescent="0.3">
      <c r="A499" s="50"/>
      <c r="B499" s="134"/>
      <c r="C499" s="201" t="s">
        <v>1611</v>
      </c>
      <c r="D499" s="182" t="s">
        <v>1746</v>
      </c>
      <c r="E499" s="259" t="s">
        <v>1179</v>
      </c>
      <c r="F499" s="316">
        <v>4.0000000000000001E-3</v>
      </c>
      <c r="G499" s="207">
        <f>K499/F499</f>
        <v>500174.99999999994</v>
      </c>
      <c r="H499" s="243">
        <v>270</v>
      </c>
      <c r="I499" s="354"/>
      <c r="J499" s="354"/>
      <c r="K499" s="186">
        <f>H499*$C$4*$C$5</f>
        <v>2000.6999999999998</v>
      </c>
      <c r="L499" s="321" t="e">
        <f>IF(N499="поставка Заказчика",N499,K499)</f>
        <v>#REF!</v>
      </c>
      <c r="M499" s="450"/>
      <c r="N499" s="131" t="e">
        <f>IF(ISNA(MATCH(C499,#REF!,0)),"",INDEX(#REF!,MATCH(C499,#REF!,0)))</f>
        <v>#REF!</v>
      </c>
      <c r="O499" s="114" t="e">
        <f>SUMIF(#REF!,C499,#REF!)</f>
        <v>#REF!</v>
      </c>
      <c r="P499" s="114" t="s">
        <v>34</v>
      </c>
    </row>
    <row r="500" spans="1:16" x14ac:dyDescent="0.3">
      <c r="A500" s="50"/>
      <c r="B500" s="128" t="s">
        <v>1747</v>
      </c>
      <c r="C500" s="213" t="s">
        <v>1612</v>
      </c>
      <c r="D500" s="60" t="s">
        <v>1748</v>
      </c>
      <c r="E500" s="214"/>
      <c r="F500" s="215"/>
      <c r="G500" s="211"/>
      <c r="H500" s="304">
        <f>H503+H506+H522</f>
        <v>166506</v>
      </c>
      <c r="I500" s="347"/>
      <c r="J500" s="347"/>
      <c r="K500" s="205">
        <f>K503+K506+K522</f>
        <v>1233809.4599999997</v>
      </c>
      <c r="L500" s="205" t="e">
        <f>L503+L506+L522</f>
        <v>#REF!</v>
      </c>
      <c r="M500" s="450" t="s">
        <v>1164</v>
      </c>
      <c r="N500" s="136" t="e">
        <f>IF(ISNA(MATCH(C500,#REF!,0)),"",INDEX(#REF!,MATCH(C500,#REF!,0)))</f>
        <v>#REF!</v>
      </c>
      <c r="O500" s="137" t="e">
        <f>SUMIF(#REF!,C500,#REF!)</f>
        <v>#REF!</v>
      </c>
      <c r="P500" s="130" t="s">
        <v>35</v>
      </c>
    </row>
    <row r="501" spans="1:16" ht="13.5" x14ac:dyDescent="0.3">
      <c r="A501" s="50"/>
      <c r="B501" s="125"/>
      <c r="C501" s="262"/>
      <c r="D501" s="142" t="s">
        <v>1707</v>
      </c>
      <c r="E501" s="257"/>
      <c r="F501" s="263"/>
      <c r="G501" s="264"/>
      <c r="H501" s="310"/>
      <c r="I501" s="360"/>
      <c r="J501" s="360"/>
      <c r="K501" s="265"/>
      <c r="L501" s="265" t="e">
        <f>K501-O501</f>
        <v>#REF!</v>
      </c>
      <c r="M501" s="450"/>
      <c r="N501" s="143" t="e">
        <f>IF(ISNA(MATCH(C501,#REF!,0)),"",INDEX(#REF!,MATCH(C501,#REF!,0)))</f>
        <v>#REF!</v>
      </c>
      <c r="O501" s="144" t="e">
        <f>SUMIF(#REF!,C501,#REF!)</f>
        <v>#REF!</v>
      </c>
      <c r="P501" s="144" t="s">
        <v>35</v>
      </c>
    </row>
    <row r="502" spans="1:16" ht="65" x14ac:dyDescent="0.3">
      <c r="A502" s="50"/>
      <c r="B502" s="591"/>
      <c r="C502" s="596" t="s">
        <v>567</v>
      </c>
      <c r="D502" s="163" t="s">
        <v>1749</v>
      </c>
      <c r="E502" s="275" t="s">
        <v>970</v>
      </c>
      <c r="F502" s="597">
        <v>1</v>
      </c>
      <c r="G502" s="240" t="str">
        <f>IF(ISERR(L502/F502),"",K502/F502)</f>
        <v/>
      </c>
      <c r="H502" s="242">
        <v>21226</v>
      </c>
      <c r="I502" s="353">
        <f>H502/1.0997</f>
        <v>19301.627716649997</v>
      </c>
      <c r="J502" s="353">
        <f>I502/F502</f>
        <v>19301.627716649997</v>
      </c>
      <c r="K502" s="322">
        <f>H502*$C$6</f>
        <v>71319.360000000001</v>
      </c>
      <c r="L502" s="323" t="e">
        <f>IF(N502="Заказчика",N502,INDEX(#REF!,MATCH(C502,#REF!,0)))</f>
        <v>#REF!</v>
      </c>
      <c r="M502" s="450"/>
      <c r="N502" s="145" t="e">
        <f>IF(ISNA(MATCH(C502,#REF!,0)),"",INDEX(#REF!,MATCH(C502,#REF!,0)))</f>
        <v>#REF!</v>
      </c>
      <c r="O502" s="146" t="e">
        <f>SUMIF(#REF!,C502,#REF!)</f>
        <v>#REF!</v>
      </c>
      <c r="P502" s="146" t="s">
        <v>35</v>
      </c>
    </row>
    <row r="503" spans="1:16" x14ac:dyDescent="0.3">
      <c r="A503" s="50"/>
      <c r="B503" s="134"/>
      <c r="C503" s="216" t="s">
        <v>1613</v>
      </c>
      <c r="D503" s="232" t="s">
        <v>206</v>
      </c>
      <c r="E503" s="233"/>
      <c r="F503" s="234"/>
      <c r="G503" s="235"/>
      <c r="H503" s="301">
        <f>SUM(H504:H505)</f>
        <v>649</v>
      </c>
      <c r="I503" s="343"/>
      <c r="J503" s="343"/>
      <c r="K503" s="236">
        <f>SUM(K504:K505)</f>
        <v>4809.09</v>
      </c>
      <c r="L503" s="236" t="e">
        <f>SUM(L504:L505)</f>
        <v>#REF!</v>
      </c>
      <c r="M503" s="450"/>
      <c r="N503" s="126" t="e">
        <f>IF(ISNA(MATCH(C503,#REF!,0)),"",INDEX(#REF!,MATCH(C503,#REF!,0)))</f>
        <v>#REF!</v>
      </c>
      <c r="O503" s="127" t="e">
        <f>SUMIF(#REF!,C503,#REF!)</f>
        <v>#REF!</v>
      </c>
      <c r="P503" s="127" t="s">
        <v>35</v>
      </c>
    </row>
    <row r="504" spans="1:16" ht="26" x14ac:dyDescent="0.3">
      <c r="A504" s="50"/>
      <c r="B504" s="134"/>
      <c r="C504" s="201" t="s">
        <v>1614</v>
      </c>
      <c r="D504" s="182" t="s">
        <v>207</v>
      </c>
      <c r="E504" s="190" t="s">
        <v>840</v>
      </c>
      <c r="F504" s="316">
        <v>4.8732999999999999E-2</v>
      </c>
      <c r="G504" s="207">
        <f>K504/F504</f>
        <v>28585.968440276607</v>
      </c>
      <c r="H504" s="243">
        <v>188</v>
      </c>
      <c r="I504" s="354"/>
      <c r="J504" s="354"/>
      <c r="K504" s="186">
        <f>H504*$C$4*$C$5</f>
        <v>1393.08</v>
      </c>
      <c r="L504" s="321" t="e">
        <f>IF(N504="поставка Заказчика",N504,K504)</f>
        <v>#REF!</v>
      </c>
      <c r="M504" s="450"/>
      <c r="N504" s="319" t="e">
        <f>IF(ISNA(MATCH(C504,#REF!,0)),"",INDEX(#REF!,MATCH(C504,#REF!,0)))</f>
        <v>#REF!</v>
      </c>
      <c r="O504" s="113" t="e">
        <f>SUMIF(#REF!,C504,#REF!)</f>
        <v>#REF!</v>
      </c>
      <c r="P504" s="113" t="s">
        <v>35</v>
      </c>
    </row>
    <row r="505" spans="1:16" ht="52" x14ac:dyDescent="0.3">
      <c r="A505" s="50"/>
      <c r="B505" s="134"/>
      <c r="C505" s="201" t="s">
        <v>1615</v>
      </c>
      <c r="D505" s="224" t="s">
        <v>85</v>
      </c>
      <c r="E505" s="200" t="s">
        <v>826</v>
      </c>
      <c r="F505" s="316">
        <v>4.8578999999999997E-2</v>
      </c>
      <c r="G505" s="207">
        <f>K505/F505</f>
        <v>70318.656209473222</v>
      </c>
      <c r="H505" s="243">
        <f>59+35+30+29+310-2</f>
        <v>461</v>
      </c>
      <c r="I505" s="354"/>
      <c r="J505" s="354"/>
      <c r="K505" s="186">
        <f>H505*$C$4*$C$5</f>
        <v>3416.0099999999998</v>
      </c>
      <c r="L505" s="321" t="e">
        <f>IF(N505="поставка Заказчика",N505,K505)</f>
        <v>#REF!</v>
      </c>
      <c r="M505" s="450"/>
      <c r="N505" s="131" t="e">
        <f>IF(ISNA(MATCH(C505,#REF!,0)),"",INDEX(#REF!,MATCH(C505,#REF!,0)))</f>
        <v>#REF!</v>
      </c>
      <c r="O505" s="114" t="e">
        <f>SUMIF(#REF!,C505,#REF!)</f>
        <v>#REF!</v>
      </c>
      <c r="P505" s="114" t="s">
        <v>35</v>
      </c>
    </row>
    <row r="506" spans="1:16" x14ac:dyDescent="0.3">
      <c r="A506" s="50"/>
      <c r="B506" s="134"/>
      <c r="C506" s="216" t="s">
        <v>1616</v>
      </c>
      <c r="D506" s="232" t="s">
        <v>721</v>
      </c>
      <c r="E506" s="233"/>
      <c r="F506" s="234"/>
      <c r="G506" s="235"/>
      <c r="H506" s="301">
        <f>SUM(H507:H521)</f>
        <v>119247</v>
      </c>
      <c r="I506" s="343"/>
      <c r="J506" s="343"/>
      <c r="K506" s="236">
        <f>SUM(K507:K521)</f>
        <v>883620.26999999979</v>
      </c>
      <c r="L506" s="236" t="e">
        <f>SUM(L507:L521)</f>
        <v>#REF!</v>
      </c>
      <c r="M506" s="450"/>
      <c r="N506" s="126" t="e">
        <f>IF(ISNA(MATCH(C506,#REF!,0)),"",INDEX(#REF!,MATCH(C506,#REF!,0)))</f>
        <v>#REF!</v>
      </c>
      <c r="O506" s="127" t="e">
        <f>SUMIF(#REF!,C506,#REF!)</f>
        <v>#REF!</v>
      </c>
      <c r="P506" s="127" t="s">
        <v>35</v>
      </c>
    </row>
    <row r="507" spans="1:16" ht="52" x14ac:dyDescent="0.3">
      <c r="A507" s="50"/>
      <c r="B507" s="134"/>
      <c r="C507" s="201" t="s">
        <v>1617</v>
      </c>
      <c r="D507" s="182" t="s">
        <v>1753</v>
      </c>
      <c r="E507" s="259" t="s">
        <v>970</v>
      </c>
      <c r="F507" s="316">
        <v>1</v>
      </c>
      <c r="G507" s="207">
        <f t="shared" ref="G507:G521" si="94">K507/F507</f>
        <v>2949.18</v>
      </c>
      <c r="H507" s="243">
        <v>398</v>
      </c>
      <c r="I507" s="354"/>
      <c r="J507" s="354"/>
      <c r="K507" s="186">
        <f t="shared" ref="K507:K521" si="95">H507*$C$4*$C$5</f>
        <v>2949.18</v>
      </c>
      <c r="L507" s="321" t="e">
        <f t="shared" ref="L507:L521" si="96">IF(N507="поставка Заказчика",N507,K507)</f>
        <v>#REF!</v>
      </c>
      <c r="M507" s="450"/>
      <c r="N507" s="131" t="e">
        <f>IF(ISNA(MATCH(C507,#REF!,0)),"",INDEX(#REF!,MATCH(C507,#REF!,0)))</f>
        <v>#REF!</v>
      </c>
      <c r="O507" s="114" t="e">
        <f>SUMIF(#REF!,C507,#REF!)</f>
        <v>#REF!</v>
      </c>
      <c r="P507" s="114" t="s">
        <v>35</v>
      </c>
    </row>
    <row r="508" spans="1:16" ht="65" x14ac:dyDescent="0.3">
      <c r="A508" s="50"/>
      <c r="B508" s="134"/>
      <c r="C508" s="201" t="s">
        <v>404</v>
      </c>
      <c r="D508" s="182" t="s">
        <v>78</v>
      </c>
      <c r="E508" s="259" t="s">
        <v>970</v>
      </c>
      <c r="F508" s="316">
        <v>5</v>
      </c>
      <c r="G508" s="207">
        <f t="shared" si="94"/>
        <v>13637.363999999998</v>
      </c>
      <c r="H508" s="243">
        <f>8406+794+2</f>
        <v>9202</v>
      </c>
      <c r="I508" s="354"/>
      <c r="J508" s="354"/>
      <c r="K508" s="186">
        <f t="shared" si="95"/>
        <v>68186.819999999992</v>
      </c>
      <c r="L508" s="321" t="e">
        <f t="shared" si="96"/>
        <v>#REF!</v>
      </c>
      <c r="M508" s="450"/>
      <c r="N508" s="131" t="e">
        <f>IF(ISNA(MATCH(C508,#REF!,0)),"",INDEX(#REF!,MATCH(C508,#REF!,0)))</f>
        <v>#REF!</v>
      </c>
      <c r="O508" s="114" t="e">
        <f>SUMIF(#REF!,C508,#REF!)</f>
        <v>#REF!</v>
      </c>
      <c r="P508" s="114" t="s">
        <v>35</v>
      </c>
    </row>
    <row r="509" spans="1:16" ht="65" x14ac:dyDescent="0.3">
      <c r="A509" s="50"/>
      <c r="B509" s="134"/>
      <c r="C509" s="201" t="s">
        <v>405</v>
      </c>
      <c r="D509" s="182" t="s">
        <v>1754</v>
      </c>
      <c r="E509" s="259" t="s">
        <v>970</v>
      </c>
      <c r="F509" s="316">
        <v>4</v>
      </c>
      <c r="G509" s="207">
        <f t="shared" si="94"/>
        <v>18176.729999999996</v>
      </c>
      <c r="H509" s="243">
        <f>8863+949</f>
        <v>9812</v>
      </c>
      <c r="I509" s="354"/>
      <c r="J509" s="354"/>
      <c r="K509" s="186">
        <f t="shared" si="95"/>
        <v>72706.919999999984</v>
      </c>
      <c r="L509" s="321" t="e">
        <f t="shared" si="96"/>
        <v>#REF!</v>
      </c>
      <c r="M509" s="450"/>
      <c r="N509" s="131" t="e">
        <f>IF(ISNA(MATCH(C509,#REF!,0)),"",INDEX(#REF!,MATCH(C509,#REF!,0)))</f>
        <v>#REF!</v>
      </c>
      <c r="O509" s="114" t="e">
        <f>SUMIF(#REF!,C509,#REF!)</f>
        <v>#REF!</v>
      </c>
      <c r="P509" s="114" t="s">
        <v>35</v>
      </c>
    </row>
    <row r="510" spans="1:16" ht="65" x14ac:dyDescent="0.3">
      <c r="A510" s="50"/>
      <c r="B510" s="134"/>
      <c r="C510" s="201" t="s">
        <v>406</v>
      </c>
      <c r="D510" s="182" t="s">
        <v>723</v>
      </c>
      <c r="E510" s="259" t="s">
        <v>970</v>
      </c>
      <c r="F510" s="316">
        <v>2</v>
      </c>
      <c r="G510" s="207">
        <f t="shared" si="94"/>
        <v>23708.294999999998</v>
      </c>
      <c r="H510" s="243">
        <f>5897+502</f>
        <v>6399</v>
      </c>
      <c r="I510" s="354"/>
      <c r="J510" s="354"/>
      <c r="K510" s="186">
        <f t="shared" si="95"/>
        <v>47416.59</v>
      </c>
      <c r="L510" s="321" t="e">
        <f t="shared" si="96"/>
        <v>#REF!</v>
      </c>
      <c r="M510" s="450"/>
      <c r="N510" s="131" t="e">
        <f>IF(ISNA(MATCH(C510,#REF!,0)),"",INDEX(#REF!,MATCH(C510,#REF!,0)))</f>
        <v>#REF!</v>
      </c>
      <c r="O510" s="114" t="e">
        <f>SUMIF(#REF!,C510,#REF!)</f>
        <v>#REF!</v>
      </c>
      <c r="P510" s="114" t="s">
        <v>35</v>
      </c>
    </row>
    <row r="511" spans="1:16" ht="65" x14ac:dyDescent="0.3">
      <c r="A511" s="50"/>
      <c r="B511" s="134"/>
      <c r="C511" s="201" t="s">
        <v>407</v>
      </c>
      <c r="D511" s="182" t="s">
        <v>1755</v>
      </c>
      <c r="E511" s="259" t="s">
        <v>970</v>
      </c>
      <c r="F511" s="316">
        <v>2</v>
      </c>
      <c r="G511" s="207">
        <f t="shared" si="94"/>
        <v>42174.014999999999</v>
      </c>
      <c r="H511" s="243">
        <f>10650+733</f>
        <v>11383</v>
      </c>
      <c r="I511" s="354"/>
      <c r="J511" s="354"/>
      <c r="K511" s="186">
        <f t="shared" si="95"/>
        <v>84348.03</v>
      </c>
      <c r="L511" s="321" t="e">
        <f t="shared" si="96"/>
        <v>#REF!</v>
      </c>
      <c r="M511" s="450"/>
      <c r="N511" s="131" t="e">
        <f>IF(ISNA(MATCH(C511,#REF!,0)),"",INDEX(#REF!,MATCH(C511,#REF!,0)))</f>
        <v>#REF!</v>
      </c>
      <c r="O511" s="114" t="e">
        <f>SUMIF(#REF!,C511,#REF!)</f>
        <v>#REF!</v>
      </c>
      <c r="P511" s="114" t="s">
        <v>35</v>
      </c>
    </row>
    <row r="512" spans="1:16" ht="39" x14ac:dyDescent="0.3">
      <c r="A512" s="50"/>
      <c r="B512" s="134"/>
      <c r="C512" s="201" t="s">
        <v>408</v>
      </c>
      <c r="D512" s="182" t="s">
        <v>694</v>
      </c>
      <c r="E512" s="259" t="s">
        <v>970</v>
      </c>
      <c r="F512" s="316">
        <v>1</v>
      </c>
      <c r="G512" s="207">
        <f t="shared" si="94"/>
        <v>26853.839999999997</v>
      </c>
      <c r="H512" s="243">
        <f>3184+440</f>
        <v>3624</v>
      </c>
      <c r="I512" s="354"/>
      <c r="J512" s="354"/>
      <c r="K512" s="186">
        <f t="shared" si="95"/>
        <v>26853.839999999997</v>
      </c>
      <c r="L512" s="321" t="e">
        <f t="shared" si="96"/>
        <v>#REF!</v>
      </c>
      <c r="M512" s="450"/>
      <c r="N512" s="131" t="e">
        <f>IF(ISNA(MATCH(C512,#REF!,0)),"",INDEX(#REF!,MATCH(C512,#REF!,0)))</f>
        <v>#REF!</v>
      </c>
      <c r="O512" s="114" t="e">
        <f>SUMIF(#REF!,C512,#REF!)</f>
        <v>#REF!</v>
      </c>
      <c r="P512" s="114" t="s">
        <v>35</v>
      </c>
    </row>
    <row r="513" spans="1:16" ht="78" x14ac:dyDescent="0.3">
      <c r="A513" s="50"/>
      <c r="B513" s="134"/>
      <c r="C513" s="201" t="s">
        <v>409</v>
      </c>
      <c r="D513" s="182" t="s">
        <v>1759</v>
      </c>
      <c r="E513" s="259" t="s">
        <v>970</v>
      </c>
      <c r="F513" s="316">
        <f>4+3+1+2+2</f>
        <v>12</v>
      </c>
      <c r="G513" s="207">
        <f t="shared" si="94"/>
        <v>25696.027499999997</v>
      </c>
      <c r="H513" s="243">
        <f>6091+740+7301+807+3050+285+9149+854+12198+1138</f>
        <v>41613</v>
      </c>
      <c r="I513" s="354"/>
      <c r="J513" s="354"/>
      <c r="K513" s="186">
        <f t="shared" si="95"/>
        <v>308352.32999999996</v>
      </c>
      <c r="L513" s="321" t="e">
        <f t="shared" si="96"/>
        <v>#REF!</v>
      </c>
      <c r="M513" s="450"/>
      <c r="N513" s="131" t="e">
        <f>IF(ISNA(MATCH(C513,#REF!,0)),"",INDEX(#REF!,MATCH(C513,#REF!,0)))</f>
        <v>#REF!</v>
      </c>
      <c r="O513" s="114" t="e">
        <f>SUMIF(#REF!,C513,#REF!)</f>
        <v>#REF!</v>
      </c>
      <c r="P513" s="114" t="s">
        <v>35</v>
      </c>
    </row>
    <row r="514" spans="1:16" ht="26" x14ac:dyDescent="0.3">
      <c r="A514" s="50"/>
      <c r="B514" s="134"/>
      <c r="C514" s="201" t="s">
        <v>410</v>
      </c>
      <c r="D514" s="182" t="s">
        <v>0</v>
      </c>
      <c r="E514" s="200" t="s">
        <v>971</v>
      </c>
      <c r="F514" s="316">
        <v>34.340000000000003</v>
      </c>
      <c r="G514" s="207">
        <f t="shared" si="94"/>
        <v>755.02591729761195</v>
      </c>
      <c r="H514" s="243">
        <f>1572+1927</f>
        <v>3499</v>
      </c>
      <c r="I514" s="354"/>
      <c r="J514" s="354"/>
      <c r="K514" s="186">
        <f t="shared" si="95"/>
        <v>25927.589999999997</v>
      </c>
      <c r="L514" s="321" t="e">
        <f t="shared" si="96"/>
        <v>#REF!</v>
      </c>
      <c r="M514" s="450"/>
      <c r="N514" s="131" t="e">
        <f>IF(ISNA(MATCH(C514,#REF!,0)),"",INDEX(#REF!,MATCH(C514,#REF!,0)))</f>
        <v>#REF!</v>
      </c>
      <c r="O514" s="114" t="e">
        <f>SUMIF(#REF!,C514,#REF!)</f>
        <v>#REF!</v>
      </c>
      <c r="P514" s="114" t="s">
        <v>35</v>
      </c>
    </row>
    <row r="515" spans="1:16" x14ac:dyDescent="0.3">
      <c r="A515" s="50"/>
      <c r="B515" s="134"/>
      <c r="C515" s="201" t="s">
        <v>411</v>
      </c>
      <c r="D515" s="182" t="s">
        <v>1743</v>
      </c>
      <c r="E515" s="200" t="s">
        <v>701</v>
      </c>
      <c r="F515" s="316">
        <v>59.091000000000001</v>
      </c>
      <c r="G515" s="207">
        <f t="shared" si="94"/>
        <v>211.17327511803825</v>
      </c>
      <c r="H515" s="243">
        <f>1037+647</f>
        <v>1684</v>
      </c>
      <c r="I515" s="354"/>
      <c r="J515" s="354"/>
      <c r="K515" s="186">
        <f t="shared" si="95"/>
        <v>12478.439999999999</v>
      </c>
      <c r="L515" s="321" t="e">
        <f t="shared" si="96"/>
        <v>#REF!</v>
      </c>
      <c r="M515" s="450"/>
      <c r="N515" s="131" t="e">
        <f>IF(ISNA(MATCH(C515,#REF!,0)),"",INDEX(#REF!,MATCH(C515,#REF!,0)))</f>
        <v>#REF!</v>
      </c>
      <c r="O515" s="114" t="e">
        <f>SUMIF(#REF!,C515,#REF!)</f>
        <v>#REF!</v>
      </c>
      <c r="P515" s="114" t="s">
        <v>35</v>
      </c>
    </row>
    <row r="516" spans="1:16" ht="26" x14ac:dyDescent="0.3">
      <c r="A516" s="50"/>
      <c r="B516" s="134"/>
      <c r="C516" s="201" t="s">
        <v>412</v>
      </c>
      <c r="D516" s="182" t="s">
        <v>1</v>
      </c>
      <c r="E516" s="200" t="s">
        <v>971</v>
      </c>
      <c r="F516" s="316">
        <v>33.33</v>
      </c>
      <c r="G516" s="207">
        <f t="shared" si="94"/>
        <v>992.89108910891082</v>
      </c>
      <c r="H516" s="243">
        <f>2181+2285</f>
        <v>4466</v>
      </c>
      <c r="I516" s="354"/>
      <c r="J516" s="354"/>
      <c r="K516" s="186">
        <f t="shared" si="95"/>
        <v>33093.06</v>
      </c>
      <c r="L516" s="321" t="e">
        <f t="shared" si="96"/>
        <v>#REF!</v>
      </c>
      <c r="M516" s="450"/>
      <c r="N516" s="131" t="e">
        <f>IF(ISNA(MATCH(C516,#REF!,0)),"",INDEX(#REF!,MATCH(C516,#REF!,0)))</f>
        <v>#REF!</v>
      </c>
      <c r="O516" s="114" t="e">
        <f>SUMIF(#REF!,C516,#REF!)</f>
        <v>#REF!</v>
      </c>
      <c r="P516" s="114" t="s">
        <v>35</v>
      </c>
    </row>
    <row r="517" spans="1:16" x14ac:dyDescent="0.3">
      <c r="A517" s="50"/>
      <c r="B517" s="134"/>
      <c r="C517" s="201" t="s">
        <v>413</v>
      </c>
      <c r="D517" s="182" t="s">
        <v>2</v>
      </c>
      <c r="E517" s="200" t="s">
        <v>701</v>
      </c>
      <c r="F517" s="316">
        <v>29</v>
      </c>
      <c r="G517" s="207">
        <f t="shared" si="94"/>
        <v>132.35793103448276</v>
      </c>
      <c r="H517" s="243">
        <v>518</v>
      </c>
      <c r="I517" s="354"/>
      <c r="J517" s="354"/>
      <c r="K517" s="186">
        <f t="shared" si="95"/>
        <v>3838.38</v>
      </c>
      <c r="L517" s="321" t="e">
        <f t="shared" si="96"/>
        <v>#REF!</v>
      </c>
      <c r="M517" s="450"/>
      <c r="N517" s="131" t="e">
        <f>IF(ISNA(MATCH(C517,#REF!,0)),"",INDEX(#REF!,MATCH(C517,#REF!,0)))</f>
        <v>#REF!</v>
      </c>
      <c r="O517" s="114" t="e">
        <f>SUMIF(#REF!,C517,#REF!)</f>
        <v>#REF!</v>
      </c>
      <c r="P517" s="114" t="s">
        <v>35</v>
      </c>
    </row>
    <row r="518" spans="1:16" ht="26" x14ac:dyDescent="0.3">
      <c r="A518" s="50"/>
      <c r="B518" s="134"/>
      <c r="C518" s="201" t="s">
        <v>414</v>
      </c>
      <c r="D518" s="182" t="s">
        <v>201</v>
      </c>
      <c r="E518" s="200" t="s">
        <v>971</v>
      </c>
      <c r="F518" s="316">
        <v>87.87</v>
      </c>
      <c r="G518" s="207">
        <f t="shared" si="94"/>
        <v>1301.0297029702967</v>
      </c>
      <c r="H518" s="243">
        <f>9228+6200</f>
        <v>15428</v>
      </c>
      <c r="I518" s="354"/>
      <c r="J518" s="354"/>
      <c r="K518" s="186">
        <f t="shared" si="95"/>
        <v>114321.47999999998</v>
      </c>
      <c r="L518" s="321" t="e">
        <f t="shared" si="96"/>
        <v>#REF!</v>
      </c>
      <c r="M518" s="450"/>
      <c r="N518" s="131" t="e">
        <f>IF(ISNA(MATCH(C518,#REF!,0)),"",INDEX(#REF!,MATCH(C518,#REF!,0)))</f>
        <v>#REF!</v>
      </c>
      <c r="O518" s="114" t="e">
        <f>SUMIF(#REF!,C518,#REF!)</f>
        <v>#REF!</v>
      </c>
      <c r="P518" s="114" t="s">
        <v>35</v>
      </c>
    </row>
    <row r="519" spans="1:16" x14ac:dyDescent="0.3">
      <c r="A519" s="50"/>
      <c r="B519" s="134"/>
      <c r="C519" s="201" t="s">
        <v>415</v>
      </c>
      <c r="D519" s="182" t="s">
        <v>705</v>
      </c>
      <c r="E519" s="189" t="s">
        <v>701</v>
      </c>
      <c r="F519" s="316">
        <v>25.908999999999999</v>
      </c>
      <c r="G519" s="207">
        <f t="shared" si="94"/>
        <v>134.70647265429</v>
      </c>
      <c r="H519" s="243">
        <v>471</v>
      </c>
      <c r="I519" s="354"/>
      <c r="J519" s="354"/>
      <c r="K519" s="186">
        <f t="shared" si="95"/>
        <v>3490.1099999999997</v>
      </c>
      <c r="L519" s="321" t="e">
        <f t="shared" si="96"/>
        <v>#REF!</v>
      </c>
      <c r="M519" s="450"/>
      <c r="N519" s="319" t="e">
        <f>IF(ISNA(MATCH(C519,#REF!,0)),"",INDEX(#REF!,MATCH(C519,#REF!,0)))</f>
        <v>#REF!</v>
      </c>
      <c r="O519" s="113" t="e">
        <f>SUMIF(#REF!,C519,#REF!)</f>
        <v>#REF!</v>
      </c>
      <c r="P519" s="113" t="s">
        <v>35</v>
      </c>
    </row>
    <row r="520" spans="1:16" ht="26" x14ac:dyDescent="0.3">
      <c r="A520" s="50"/>
      <c r="B520" s="134"/>
      <c r="C520" s="201" t="s">
        <v>416</v>
      </c>
      <c r="D520" s="182" t="s">
        <v>706</v>
      </c>
      <c r="E520" s="200" t="s">
        <v>971</v>
      </c>
      <c r="F520" s="316">
        <f>34.34+8</f>
        <v>42.34</v>
      </c>
      <c r="G520" s="207">
        <f t="shared" si="94"/>
        <v>1563.0304676428905</v>
      </c>
      <c r="H520" s="243">
        <f>6340+2266+325</f>
        <v>8931</v>
      </c>
      <c r="I520" s="354"/>
      <c r="J520" s="354"/>
      <c r="K520" s="186">
        <f t="shared" si="95"/>
        <v>66178.709999999992</v>
      </c>
      <c r="L520" s="321" t="e">
        <f t="shared" si="96"/>
        <v>#REF!</v>
      </c>
      <c r="M520" s="450"/>
      <c r="N520" s="131" t="e">
        <f>IF(ISNA(MATCH(C520,#REF!,0)),"",INDEX(#REF!,MATCH(C520,#REF!,0)))</f>
        <v>#REF!</v>
      </c>
      <c r="O520" s="114" t="e">
        <f>SUMIF(#REF!,C520,#REF!)</f>
        <v>#REF!</v>
      </c>
      <c r="P520" s="114" t="s">
        <v>35</v>
      </c>
    </row>
    <row r="521" spans="1:16" ht="26" x14ac:dyDescent="0.3">
      <c r="A521" s="50"/>
      <c r="B521" s="134"/>
      <c r="C521" s="201" t="s">
        <v>417</v>
      </c>
      <c r="D521" s="182" t="s">
        <v>3</v>
      </c>
      <c r="E521" s="189" t="s">
        <v>701</v>
      </c>
      <c r="F521" s="316">
        <v>35.091000000000001</v>
      </c>
      <c r="G521" s="207">
        <f t="shared" si="94"/>
        <v>384.10960075232964</v>
      </c>
      <c r="H521" s="243">
        <f>660+1159</f>
        <v>1819</v>
      </c>
      <c r="I521" s="354"/>
      <c r="J521" s="354"/>
      <c r="K521" s="186">
        <f t="shared" si="95"/>
        <v>13478.789999999999</v>
      </c>
      <c r="L521" s="321" t="e">
        <f t="shared" si="96"/>
        <v>#REF!</v>
      </c>
      <c r="M521" s="450"/>
      <c r="N521" s="319" t="e">
        <f>IF(ISNA(MATCH(C521,#REF!,0)),"",INDEX(#REF!,MATCH(C521,#REF!,0)))</f>
        <v>#REF!</v>
      </c>
      <c r="O521" s="113" t="e">
        <f>SUMIF(#REF!,C521,#REF!)</f>
        <v>#REF!</v>
      </c>
      <c r="P521" s="113" t="s">
        <v>35</v>
      </c>
    </row>
    <row r="522" spans="1:16" x14ac:dyDescent="0.3">
      <c r="A522" s="50"/>
      <c r="B522" s="134"/>
      <c r="C522" s="216" t="s">
        <v>418</v>
      </c>
      <c r="D522" s="232" t="s">
        <v>1705</v>
      </c>
      <c r="E522" s="233"/>
      <c r="F522" s="234"/>
      <c r="G522" s="235"/>
      <c r="H522" s="301">
        <f>SUM(H523:H532)</f>
        <v>46610</v>
      </c>
      <c r="I522" s="343"/>
      <c r="J522" s="343"/>
      <c r="K522" s="236">
        <f>SUM(K523:K532)</f>
        <v>345380.1</v>
      </c>
      <c r="L522" s="236" t="e">
        <f>SUM(L523:L532)</f>
        <v>#REF!</v>
      </c>
      <c r="M522" s="450"/>
      <c r="N522" s="126" t="e">
        <f>IF(ISNA(MATCH(C522,#REF!,0)),"",INDEX(#REF!,MATCH(C522,#REF!,0)))</f>
        <v>#REF!</v>
      </c>
      <c r="O522" s="127" t="e">
        <f>SUMIF(#REF!,C522,#REF!)</f>
        <v>#REF!</v>
      </c>
      <c r="P522" s="127" t="s">
        <v>35</v>
      </c>
    </row>
    <row r="523" spans="1:16" ht="26" x14ac:dyDescent="0.3">
      <c r="A523" s="50"/>
      <c r="B523" s="134"/>
      <c r="C523" s="201" t="s">
        <v>419</v>
      </c>
      <c r="D523" s="58" t="s">
        <v>714</v>
      </c>
      <c r="E523" s="200" t="s">
        <v>969</v>
      </c>
      <c r="F523" s="316">
        <v>0.22900000000000001</v>
      </c>
      <c r="G523" s="207">
        <f>K523/F523</f>
        <v>313679.21397379908</v>
      </c>
      <c r="H523" s="187">
        <v>9694</v>
      </c>
      <c r="I523" s="244"/>
      <c r="J523" s="244"/>
      <c r="K523" s="186">
        <f>H523*$C$4*$C$5</f>
        <v>71832.539999999994</v>
      </c>
      <c r="L523" s="321" t="e">
        <f>IF(N523="поставка Заказчика",N523,K523)</f>
        <v>#REF!</v>
      </c>
      <c r="M523" s="450"/>
      <c r="N523" s="131" t="e">
        <f>IF(ISNA(MATCH(C523,#REF!,0)),"",INDEX(#REF!,MATCH(C523,#REF!,0)))</f>
        <v>#REF!</v>
      </c>
      <c r="O523" s="114" t="e">
        <f>SUMIF(#REF!,C523,#REF!)</f>
        <v>#REF!</v>
      </c>
      <c r="P523" s="114" t="s">
        <v>35</v>
      </c>
    </row>
    <row r="524" spans="1:16" x14ac:dyDescent="0.3">
      <c r="A524" s="50"/>
      <c r="B524" s="134"/>
      <c r="C524" s="201"/>
      <c r="D524" s="58" t="s">
        <v>716</v>
      </c>
      <c r="E524" s="200"/>
      <c r="F524" s="316"/>
      <c r="G524" s="207"/>
      <c r="H524" s="243"/>
      <c r="I524" s="354"/>
      <c r="J524" s="354"/>
      <c r="K524" s="186"/>
      <c r="L524" s="186" t="e">
        <f>K524-O524</f>
        <v>#REF!</v>
      </c>
      <c r="M524" s="450"/>
      <c r="N524" s="131" t="e">
        <f>IF(ISNA(MATCH(C524,#REF!,0)),"",INDEX(#REF!,MATCH(C524,#REF!,0)))</f>
        <v>#REF!</v>
      </c>
      <c r="O524" s="114" t="e">
        <f>SUMIF(#REF!,C524,#REF!)</f>
        <v>#REF!</v>
      </c>
      <c r="P524" s="114" t="s">
        <v>35</v>
      </c>
    </row>
    <row r="525" spans="1:16" ht="26" x14ac:dyDescent="0.3">
      <c r="A525" s="50"/>
      <c r="B525" s="134"/>
      <c r="C525" s="201" t="s">
        <v>420</v>
      </c>
      <c r="D525" s="58" t="s">
        <v>717</v>
      </c>
      <c r="E525" s="200" t="s">
        <v>977</v>
      </c>
      <c r="F525" s="316">
        <v>0.64900000000000002</v>
      </c>
      <c r="G525" s="207">
        <f t="shared" ref="G525:G530" si="97">K525/F525</f>
        <v>2877.2265023112477</v>
      </c>
      <c r="H525" s="187">
        <f>252</f>
        <v>252</v>
      </c>
      <c r="I525" s="244"/>
      <c r="J525" s="244"/>
      <c r="K525" s="186">
        <f t="shared" ref="K525:K530" si="98">H525*$C$4*$C$5</f>
        <v>1867.3199999999997</v>
      </c>
      <c r="L525" s="321" t="e">
        <f t="shared" ref="L525:L530" si="99">IF(N525="поставка Заказчика",N525,K525)</f>
        <v>#REF!</v>
      </c>
      <c r="M525" s="450"/>
      <c r="N525" s="131" t="e">
        <f>IF(ISNA(MATCH(C525,#REF!,0)),"",INDEX(#REF!,MATCH(C525,#REF!,0)))</f>
        <v>#REF!</v>
      </c>
      <c r="O525" s="114" t="e">
        <f>SUMIF(#REF!,C525,#REF!)</f>
        <v>#REF!</v>
      </c>
      <c r="P525" s="114" t="s">
        <v>35</v>
      </c>
    </row>
    <row r="526" spans="1:16" ht="26" x14ac:dyDescent="0.3">
      <c r="A526" s="50"/>
      <c r="B526" s="134"/>
      <c r="C526" s="201" t="s">
        <v>421</v>
      </c>
      <c r="D526" s="58" t="s">
        <v>718</v>
      </c>
      <c r="E526" s="200" t="s">
        <v>977</v>
      </c>
      <c r="F526" s="316">
        <v>0.64900000000000002</v>
      </c>
      <c r="G526" s="207">
        <f t="shared" si="97"/>
        <v>10504.160246533127</v>
      </c>
      <c r="H526" s="187">
        <v>920</v>
      </c>
      <c r="I526" s="244"/>
      <c r="J526" s="244"/>
      <c r="K526" s="186">
        <f t="shared" si="98"/>
        <v>6817.2</v>
      </c>
      <c r="L526" s="321" t="e">
        <f t="shared" si="99"/>
        <v>#REF!</v>
      </c>
      <c r="M526" s="450"/>
      <c r="N526" s="131" t="e">
        <f>IF(ISNA(MATCH(C526,#REF!,0)),"",INDEX(#REF!,MATCH(C526,#REF!,0)))</f>
        <v>#REF!</v>
      </c>
      <c r="O526" s="114" t="e">
        <f>SUMIF(#REF!,C526,#REF!)</f>
        <v>#REF!</v>
      </c>
      <c r="P526" s="114" t="s">
        <v>35</v>
      </c>
    </row>
    <row r="527" spans="1:16" x14ac:dyDescent="0.3">
      <c r="A527" s="50"/>
      <c r="B527" s="152"/>
      <c r="C527" s="201" t="s">
        <v>422</v>
      </c>
      <c r="D527" s="221" t="s">
        <v>719</v>
      </c>
      <c r="E527" s="230" t="s">
        <v>1176</v>
      </c>
      <c r="F527" s="316">
        <v>4.6849999999999996</v>
      </c>
      <c r="G527" s="207">
        <f t="shared" si="97"/>
        <v>16537.664887940235</v>
      </c>
      <c r="H527" s="191">
        <v>10456</v>
      </c>
      <c r="I527" s="346"/>
      <c r="J527" s="346"/>
      <c r="K527" s="186">
        <f t="shared" si="98"/>
        <v>77478.959999999992</v>
      </c>
      <c r="L527" s="321" t="e">
        <f t="shared" si="99"/>
        <v>#REF!</v>
      </c>
      <c r="M527" s="450"/>
      <c r="N527" s="131" t="e">
        <f>IF(ISNA(MATCH(C527,#REF!,0)),"",INDEX(#REF!,MATCH(C527,#REF!,0)))</f>
        <v>#REF!</v>
      </c>
      <c r="O527" s="114" t="e">
        <f>SUMIF(#REF!,C527,#REF!)</f>
        <v>#REF!</v>
      </c>
      <c r="P527" s="114" t="s">
        <v>35</v>
      </c>
    </row>
    <row r="528" spans="1:16" ht="26" x14ac:dyDescent="0.3">
      <c r="A528" s="50"/>
      <c r="B528" s="152"/>
      <c r="C528" s="201" t="s">
        <v>423</v>
      </c>
      <c r="D528" s="182" t="s">
        <v>849</v>
      </c>
      <c r="E528" s="183" t="s">
        <v>977</v>
      </c>
      <c r="F528" s="316">
        <v>1.2070000000000001</v>
      </c>
      <c r="G528" s="207">
        <f t="shared" si="97"/>
        <v>141735.43496271747</v>
      </c>
      <c r="H528" s="243">
        <v>23087</v>
      </c>
      <c r="I528" s="354"/>
      <c r="J528" s="354"/>
      <c r="K528" s="186">
        <f t="shared" si="98"/>
        <v>171074.66999999998</v>
      </c>
      <c r="L528" s="321" t="e">
        <f t="shared" si="99"/>
        <v>#REF!</v>
      </c>
      <c r="M528" s="450"/>
      <c r="N528" s="123" t="e">
        <f>IF(ISNA(MATCH(C528,#REF!,0)),"",INDEX(#REF!,MATCH(C528,#REF!,0)))</f>
        <v>#REF!</v>
      </c>
      <c r="O528" s="124" t="e">
        <f>SUMIF(#REF!,C528,#REF!)</f>
        <v>#REF!</v>
      </c>
      <c r="P528" s="124" t="s">
        <v>35</v>
      </c>
    </row>
    <row r="529" spans="1:16" ht="39" x14ac:dyDescent="0.3">
      <c r="A529" s="50"/>
      <c r="B529" s="152"/>
      <c r="C529" s="253" t="s">
        <v>424</v>
      </c>
      <c r="D529" s="260" t="s">
        <v>850</v>
      </c>
      <c r="E529" s="231" t="s">
        <v>977</v>
      </c>
      <c r="F529" s="316">
        <v>0.80820000000000003</v>
      </c>
      <c r="G529" s="207">
        <f t="shared" si="97"/>
        <v>2888.0846325167031</v>
      </c>
      <c r="H529" s="243">
        <v>315</v>
      </c>
      <c r="I529" s="354"/>
      <c r="J529" s="354"/>
      <c r="K529" s="186">
        <f t="shared" si="98"/>
        <v>2334.1499999999996</v>
      </c>
      <c r="L529" s="321" t="e">
        <f t="shared" si="99"/>
        <v>#REF!</v>
      </c>
      <c r="M529" s="450"/>
      <c r="N529" s="123" t="e">
        <f>IF(ISNA(MATCH(C529,#REF!,0)),"",INDEX(#REF!,MATCH(C529,#REF!,0)))</f>
        <v>#REF!</v>
      </c>
      <c r="O529" s="124" t="e">
        <f>SUMIF(#REF!,C529,#REF!)</f>
        <v>#REF!</v>
      </c>
      <c r="P529" s="124" t="s">
        <v>35</v>
      </c>
    </row>
    <row r="530" spans="1:16" ht="39" x14ac:dyDescent="0.3">
      <c r="A530" s="50"/>
      <c r="B530" s="134"/>
      <c r="C530" s="201" t="s">
        <v>425</v>
      </c>
      <c r="D530" s="182" t="s">
        <v>851</v>
      </c>
      <c r="E530" s="183" t="s">
        <v>977</v>
      </c>
      <c r="F530" s="316">
        <v>0.80820000000000003</v>
      </c>
      <c r="G530" s="207">
        <f t="shared" si="97"/>
        <v>10516.295471417967</v>
      </c>
      <c r="H530" s="243">
        <v>1147</v>
      </c>
      <c r="I530" s="354"/>
      <c r="J530" s="354"/>
      <c r="K530" s="186">
        <f t="shared" si="98"/>
        <v>8499.27</v>
      </c>
      <c r="L530" s="321" t="e">
        <f t="shared" si="99"/>
        <v>#REF!</v>
      </c>
      <c r="M530" s="450"/>
      <c r="N530" s="123" t="e">
        <f>IF(ISNA(MATCH(C530,#REF!,0)),"",INDEX(#REF!,MATCH(C530,#REF!,0)))</f>
        <v>#REF!</v>
      </c>
      <c r="O530" s="124" t="e">
        <f>SUMIF(#REF!,C530,#REF!)</f>
        <v>#REF!</v>
      </c>
      <c r="P530" s="124" t="s">
        <v>35</v>
      </c>
    </row>
    <row r="531" spans="1:16" x14ac:dyDescent="0.3">
      <c r="A531" s="50"/>
      <c r="B531" s="134"/>
      <c r="C531" s="201"/>
      <c r="D531" s="182" t="s">
        <v>1745</v>
      </c>
      <c r="E531" s="183"/>
      <c r="F531" s="316"/>
      <c r="G531" s="207"/>
      <c r="H531" s="243"/>
      <c r="I531" s="354"/>
      <c r="J531" s="354"/>
      <c r="K531" s="186"/>
      <c r="L531" s="186" t="e">
        <f>K531-O531</f>
        <v>#REF!</v>
      </c>
      <c r="M531" s="450"/>
      <c r="N531" s="123" t="e">
        <f>IF(ISNA(MATCH(C531,#REF!,0)),"",INDEX(#REF!,MATCH(C531,#REF!,0)))</f>
        <v>#REF!</v>
      </c>
      <c r="O531" s="124" t="e">
        <f>SUMIF(#REF!,C531,#REF!)</f>
        <v>#REF!</v>
      </c>
      <c r="P531" s="124" t="s">
        <v>35</v>
      </c>
    </row>
    <row r="532" spans="1:16" ht="39" x14ac:dyDescent="0.3">
      <c r="A532" s="50"/>
      <c r="B532" s="134"/>
      <c r="C532" s="201" t="s">
        <v>426</v>
      </c>
      <c r="D532" s="182" t="s">
        <v>4</v>
      </c>
      <c r="E532" s="200" t="s">
        <v>1179</v>
      </c>
      <c r="F532" s="316">
        <v>8.0000000000000002E-3</v>
      </c>
      <c r="G532" s="207">
        <f>K532/F532</f>
        <v>684498.75</v>
      </c>
      <c r="H532" s="243">
        <v>739</v>
      </c>
      <c r="I532" s="354"/>
      <c r="J532" s="354"/>
      <c r="K532" s="186">
        <f>H532*$C$4*$C$5</f>
        <v>5475.99</v>
      </c>
      <c r="L532" s="321" t="e">
        <f>IF(N532="поставка Заказчика",N532,K532)</f>
        <v>#REF!</v>
      </c>
      <c r="M532" s="450"/>
      <c r="N532" s="131" t="e">
        <f>IF(ISNA(MATCH(C532,#REF!,0)),"",INDEX(#REF!,MATCH(C532,#REF!,0)))</f>
        <v>#REF!</v>
      </c>
      <c r="O532" s="114" t="e">
        <f>SUMIF(#REF!,C532,#REF!)</f>
        <v>#REF!</v>
      </c>
      <c r="P532" s="114" t="s">
        <v>35</v>
      </c>
    </row>
    <row r="533" spans="1:16" x14ac:dyDescent="0.3">
      <c r="A533" s="50"/>
      <c r="B533" s="128" t="s">
        <v>5</v>
      </c>
      <c r="C533" s="213" t="s">
        <v>1618</v>
      </c>
      <c r="D533" s="60" t="s">
        <v>6</v>
      </c>
      <c r="E533" s="214"/>
      <c r="F533" s="215"/>
      <c r="G533" s="211"/>
      <c r="H533" s="304">
        <f>H534+H554</f>
        <v>358355.86639676115</v>
      </c>
      <c r="I533" s="347"/>
      <c r="J533" s="347"/>
      <c r="K533" s="205">
        <f>K534+K554</f>
        <v>2655416.9699999997</v>
      </c>
      <c r="L533" s="205" t="e">
        <f>L534+L554</f>
        <v>#REF!</v>
      </c>
      <c r="M533" s="450" t="s">
        <v>1164</v>
      </c>
      <c r="N533" s="136" t="e">
        <f>IF(ISNA(MATCH(C533,#REF!,0)),"",INDEX(#REF!,MATCH(C533,#REF!,0)))</f>
        <v>#REF!</v>
      </c>
      <c r="O533" s="137" t="e">
        <f>SUMIF(#REF!,C533,#REF!)</f>
        <v>#REF!</v>
      </c>
      <c r="P533" s="130" t="s">
        <v>36</v>
      </c>
    </row>
    <row r="534" spans="1:16" x14ac:dyDescent="0.3">
      <c r="A534" s="50"/>
      <c r="B534" s="134"/>
      <c r="C534" s="216" t="s">
        <v>1619</v>
      </c>
      <c r="D534" s="232" t="s">
        <v>721</v>
      </c>
      <c r="E534" s="233"/>
      <c r="F534" s="234"/>
      <c r="G534" s="235"/>
      <c r="H534" s="301">
        <f>SUM(H535:H553)</f>
        <v>279452.86639676115</v>
      </c>
      <c r="I534" s="343"/>
      <c r="J534" s="343"/>
      <c r="K534" s="236">
        <f>SUM(K535:K553)</f>
        <v>2070745.74</v>
      </c>
      <c r="L534" s="236" t="e">
        <f>SUM(L535:L553)</f>
        <v>#REF!</v>
      </c>
      <c r="M534" s="450"/>
      <c r="N534" s="126" t="e">
        <f>IF(ISNA(MATCH(C534,#REF!,0)),"",INDEX(#REF!,MATCH(C534,#REF!,0)))</f>
        <v>#REF!</v>
      </c>
      <c r="O534" s="127" t="e">
        <f>SUMIF(#REF!,C534,#REF!)</f>
        <v>#REF!</v>
      </c>
      <c r="P534" s="127" t="s">
        <v>36</v>
      </c>
    </row>
    <row r="535" spans="1:16" ht="65" x14ac:dyDescent="0.3">
      <c r="A535" s="50"/>
      <c r="B535" s="134"/>
      <c r="C535" s="201" t="s">
        <v>1620</v>
      </c>
      <c r="D535" s="182" t="s">
        <v>78</v>
      </c>
      <c r="E535" s="259" t="s">
        <v>970</v>
      </c>
      <c r="F535" s="316">
        <v>1</v>
      </c>
      <c r="G535" s="207">
        <f t="shared" ref="G535:G553" si="100">K535/F535</f>
        <v>13619.579999999998</v>
      </c>
      <c r="H535" s="243">
        <f>1681+160-3</f>
        <v>1838</v>
      </c>
      <c r="I535" s="354"/>
      <c r="J535" s="354"/>
      <c r="K535" s="186">
        <f t="shared" ref="K535:K553" si="101">H535*$C$4*$C$5</f>
        <v>13619.579999999998</v>
      </c>
      <c r="L535" s="321" t="e">
        <f t="shared" ref="L535:L553" si="102">IF(N535="поставка Заказчика",N535,K535)</f>
        <v>#REF!</v>
      </c>
      <c r="M535" s="450"/>
      <c r="N535" s="131" t="e">
        <f>IF(ISNA(MATCH(C535,#REF!,0)),"",INDEX(#REF!,MATCH(C535,#REF!,0)))</f>
        <v>#REF!</v>
      </c>
      <c r="O535" s="114" t="e">
        <f>SUMIF(#REF!,C535,#REF!)</f>
        <v>#REF!</v>
      </c>
      <c r="P535" s="114" t="s">
        <v>36</v>
      </c>
    </row>
    <row r="536" spans="1:16" ht="65" x14ac:dyDescent="0.3">
      <c r="A536" s="50"/>
      <c r="B536" s="134"/>
      <c r="C536" s="201" t="s">
        <v>1621</v>
      </c>
      <c r="D536" s="182" t="s">
        <v>1754</v>
      </c>
      <c r="E536" s="259" t="s">
        <v>970</v>
      </c>
      <c r="F536" s="316">
        <v>2</v>
      </c>
      <c r="G536" s="207">
        <f t="shared" si="100"/>
        <v>18180.434999999998</v>
      </c>
      <c r="H536" s="243">
        <f>4432+475</f>
        <v>4907</v>
      </c>
      <c r="I536" s="354"/>
      <c r="J536" s="354"/>
      <c r="K536" s="186">
        <f t="shared" si="101"/>
        <v>36360.869999999995</v>
      </c>
      <c r="L536" s="321" t="e">
        <f t="shared" si="102"/>
        <v>#REF!</v>
      </c>
      <c r="M536" s="450"/>
      <c r="N536" s="131" t="e">
        <f>IF(ISNA(MATCH(C536,#REF!,0)),"",INDEX(#REF!,MATCH(C536,#REF!,0)))</f>
        <v>#REF!</v>
      </c>
      <c r="O536" s="114" t="e">
        <f>SUMIF(#REF!,C536,#REF!)</f>
        <v>#REF!</v>
      </c>
      <c r="P536" s="114" t="s">
        <v>36</v>
      </c>
    </row>
    <row r="537" spans="1:16" ht="65" x14ac:dyDescent="0.3">
      <c r="A537" s="50"/>
      <c r="B537" s="134"/>
      <c r="C537" s="201" t="s">
        <v>1622</v>
      </c>
      <c r="D537" s="182" t="s">
        <v>723</v>
      </c>
      <c r="E537" s="259" t="s">
        <v>970</v>
      </c>
      <c r="F537" s="316">
        <v>3</v>
      </c>
      <c r="G537" s="207">
        <f t="shared" si="100"/>
        <v>23709.53</v>
      </c>
      <c r="H537" s="243">
        <f>8846+753</f>
        <v>9599</v>
      </c>
      <c r="I537" s="354"/>
      <c r="J537" s="354"/>
      <c r="K537" s="186">
        <f t="shared" si="101"/>
        <v>71128.59</v>
      </c>
      <c r="L537" s="321" t="e">
        <f t="shared" si="102"/>
        <v>#REF!</v>
      </c>
      <c r="M537" s="450"/>
      <c r="N537" s="131" t="e">
        <f>IF(ISNA(MATCH(C537,#REF!,0)),"",INDEX(#REF!,MATCH(C537,#REF!,0)))</f>
        <v>#REF!</v>
      </c>
      <c r="O537" s="114" t="e">
        <f>SUMIF(#REF!,C537,#REF!)</f>
        <v>#REF!</v>
      </c>
      <c r="P537" s="114" t="s">
        <v>36</v>
      </c>
    </row>
    <row r="538" spans="1:16" ht="39" x14ac:dyDescent="0.3">
      <c r="A538" s="50"/>
      <c r="B538" s="134"/>
      <c r="C538" s="201" t="s">
        <v>1623</v>
      </c>
      <c r="D538" s="58" t="s">
        <v>8</v>
      </c>
      <c r="E538" s="259" t="s">
        <v>970</v>
      </c>
      <c r="F538" s="316">
        <v>9</v>
      </c>
      <c r="G538" s="207">
        <f t="shared" si="100"/>
        <v>19052.566666666666</v>
      </c>
      <c r="H538" s="243">
        <f>УточСтоимОборМат!I25+1430</f>
        <v>23140.76923076923</v>
      </c>
      <c r="I538" s="354"/>
      <c r="J538" s="354"/>
      <c r="K538" s="186">
        <f t="shared" si="101"/>
        <v>171473.09999999998</v>
      </c>
      <c r="L538" s="321" t="e">
        <f t="shared" si="102"/>
        <v>#REF!</v>
      </c>
      <c r="M538" s="450"/>
      <c r="N538" s="553" t="e">
        <f>IF(ISNA(MATCH(C538,#REF!,0)),"",INDEX(#REF!,MATCH(C538,#REF!,0)))</f>
        <v>#REF!</v>
      </c>
      <c r="O538" s="114" t="e">
        <f>SUMIF(#REF!,C538,#REF!)</f>
        <v>#REF!</v>
      </c>
      <c r="P538" s="114" t="s">
        <v>36</v>
      </c>
    </row>
    <row r="539" spans="1:16" ht="39" x14ac:dyDescent="0.3">
      <c r="A539" s="50"/>
      <c r="B539" s="134"/>
      <c r="C539" s="201" t="s">
        <v>1624</v>
      </c>
      <c r="D539" s="58" t="s">
        <v>9</v>
      </c>
      <c r="E539" s="259" t="s">
        <v>970</v>
      </c>
      <c r="F539" s="316">
        <v>2</v>
      </c>
      <c r="G539" s="207">
        <f t="shared" si="100"/>
        <v>30353.474999999991</v>
      </c>
      <c r="H539" s="243">
        <f>УточСтоимОборМат!I26+475</f>
        <v>8192.5708502024281</v>
      </c>
      <c r="I539" s="354"/>
      <c r="J539" s="354"/>
      <c r="K539" s="186">
        <f t="shared" si="101"/>
        <v>60706.949999999983</v>
      </c>
      <c r="L539" s="321" t="e">
        <f t="shared" si="102"/>
        <v>#REF!</v>
      </c>
      <c r="M539" s="450"/>
      <c r="N539" s="553" t="e">
        <f>IF(ISNA(MATCH(C539,#REF!,0)),"",INDEX(#REF!,MATCH(C539,#REF!,0)))</f>
        <v>#REF!</v>
      </c>
      <c r="O539" s="114" t="e">
        <f>SUMIF(#REF!,C539,#REF!)</f>
        <v>#REF!</v>
      </c>
      <c r="P539" s="114" t="s">
        <v>36</v>
      </c>
    </row>
    <row r="540" spans="1:16" ht="39" x14ac:dyDescent="0.3">
      <c r="A540" s="50"/>
      <c r="B540" s="134"/>
      <c r="C540" s="201" t="s">
        <v>1625</v>
      </c>
      <c r="D540" s="58" t="s">
        <v>10</v>
      </c>
      <c r="E540" s="259" t="s">
        <v>970</v>
      </c>
      <c r="F540" s="316">
        <v>10</v>
      </c>
      <c r="G540" s="207">
        <f t="shared" si="100"/>
        <v>68342.006999999998</v>
      </c>
      <c r="H540" s="243">
        <f>УточСтоимОборМат!I27+2507</f>
        <v>92229.429149797565</v>
      </c>
      <c r="I540" s="354"/>
      <c r="J540" s="354"/>
      <c r="K540" s="186">
        <f t="shared" si="101"/>
        <v>683420.07</v>
      </c>
      <c r="L540" s="321" t="e">
        <f t="shared" si="102"/>
        <v>#REF!</v>
      </c>
      <c r="M540" s="450"/>
      <c r="N540" s="553" t="e">
        <f>IF(ISNA(MATCH(C540,#REF!,0)),"",INDEX(#REF!,MATCH(C540,#REF!,0)))</f>
        <v>#REF!</v>
      </c>
      <c r="O540" s="114" t="e">
        <f>SUMIF(#REF!,C540,#REF!)</f>
        <v>#REF!</v>
      </c>
      <c r="P540" s="114" t="s">
        <v>36</v>
      </c>
    </row>
    <row r="541" spans="1:16" ht="39" x14ac:dyDescent="0.3">
      <c r="A541" s="50"/>
      <c r="B541" s="134"/>
      <c r="C541" s="201" t="s">
        <v>1626</v>
      </c>
      <c r="D541" s="58" t="s">
        <v>980</v>
      </c>
      <c r="E541" s="259" t="s">
        <v>970</v>
      </c>
      <c r="F541" s="316">
        <v>3</v>
      </c>
      <c r="G541" s="207">
        <f t="shared" si="100"/>
        <v>136786.37</v>
      </c>
      <c r="H541" s="243">
        <f>УточСтоимОборМат!I28+1547</f>
        <v>55379.097165991909</v>
      </c>
      <c r="I541" s="354"/>
      <c r="J541" s="354"/>
      <c r="K541" s="186">
        <f t="shared" si="101"/>
        <v>410359.11</v>
      </c>
      <c r="L541" s="321" t="e">
        <f t="shared" si="102"/>
        <v>#REF!</v>
      </c>
      <c r="M541" s="450"/>
      <c r="N541" s="553" t="e">
        <f>IF(ISNA(MATCH(C541,#REF!,0)),"",INDEX(#REF!,MATCH(C541,#REF!,0)))</f>
        <v>#REF!</v>
      </c>
      <c r="O541" s="114" t="e">
        <f>SUMIF(#REF!,C541,#REF!)</f>
        <v>#REF!</v>
      </c>
      <c r="P541" s="114" t="s">
        <v>36</v>
      </c>
    </row>
    <row r="542" spans="1:16" ht="52" x14ac:dyDescent="0.3">
      <c r="A542" s="50"/>
      <c r="B542" s="134"/>
      <c r="C542" s="201" t="s">
        <v>1627</v>
      </c>
      <c r="D542" s="182" t="s">
        <v>981</v>
      </c>
      <c r="E542" s="259" t="s">
        <v>970</v>
      </c>
      <c r="F542" s="316">
        <v>2</v>
      </c>
      <c r="G542" s="207">
        <f t="shared" si="100"/>
        <v>1722.8249999999998</v>
      </c>
      <c r="H542" s="243">
        <f>297+168</f>
        <v>465</v>
      </c>
      <c r="I542" s="354"/>
      <c r="J542" s="354"/>
      <c r="K542" s="186">
        <f t="shared" si="101"/>
        <v>3445.6499999999996</v>
      </c>
      <c r="L542" s="321" t="e">
        <f t="shared" si="102"/>
        <v>#REF!</v>
      </c>
      <c r="M542" s="450"/>
      <c r="N542" s="131" t="e">
        <f>IF(ISNA(MATCH(C542,#REF!,0)),"",INDEX(#REF!,MATCH(C542,#REF!,0)))</f>
        <v>#REF!</v>
      </c>
      <c r="O542" s="114" t="e">
        <f>SUMIF(#REF!,C542,#REF!)</f>
        <v>#REF!</v>
      </c>
      <c r="P542" s="114" t="s">
        <v>36</v>
      </c>
    </row>
    <row r="543" spans="1:16" ht="52" x14ac:dyDescent="0.3">
      <c r="A543" s="50"/>
      <c r="B543" s="134"/>
      <c r="C543" s="201" t="s">
        <v>1628</v>
      </c>
      <c r="D543" s="182" t="s">
        <v>982</v>
      </c>
      <c r="E543" s="259" t="s">
        <v>970</v>
      </c>
      <c r="F543" s="316">
        <f>3+2+3</f>
        <v>8</v>
      </c>
      <c r="G543" s="207">
        <f t="shared" si="100"/>
        <v>19019.6175</v>
      </c>
      <c r="H543" s="243">
        <f>4568+556+4867+538+9149+856</f>
        <v>20534</v>
      </c>
      <c r="I543" s="354"/>
      <c r="J543" s="354"/>
      <c r="K543" s="186">
        <f t="shared" si="101"/>
        <v>152156.94</v>
      </c>
      <c r="L543" s="321" t="e">
        <f t="shared" si="102"/>
        <v>#REF!</v>
      </c>
      <c r="M543" s="450"/>
      <c r="N543" s="131" t="e">
        <f>IF(ISNA(MATCH(C543,#REF!,0)),"",INDEX(#REF!,MATCH(C543,#REF!,0)))</f>
        <v>#REF!</v>
      </c>
      <c r="O543" s="114" t="e">
        <f>SUMIF(#REF!,C543,#REF!)</f>
        <v>#REF!</v>
      </c>
      <c r="P543" s="114" t="s">
        <v>36</v>
      </c>
    </row>
    <row r="544" spans="1:16" ht="39" x14ac:dyDescent="0.3">
      <c r="A544" s="50"/>
      <c r="B544" s="134"/>
      <c r="C544" s="201" t="s">
        <v>1629</v>
      </c>
      <c r="D544" s="182" t="s">
        <v>983</v>
      </c>
      <c r="E544" s="200" t="s">
        <v>722</v>
      </c>
      <c r="F544" s="316">
        <v>0.90900000000000003</v>
      </c>
      <c r="G544" s="207">
        <f t="shared" si="100"/>
        <v>33781.122112211218</v>
      </c>
      <c r="H544" s="243">
        <f>3645+499</f>
        <v>4144</v>
      </c>
      <c r="I544" s="354"/>
      <c r="J544" s="354"/>
      <c r="K544" s="186">
        <f t="shared" si="101"/>
        <v>30707.040000000001</v>
      </c>
      <c r="L544" s="321" t="e">
        <f t="shared" si="102"/>
        <v>#REF!</v>
      </c>
      <c r="M544" s="450"/>
      <c r="N544" s="131" t="e">
        <f>IF(ISNA(MATCH(C544,#REF!,0)),"",INDEX(#REF!,MATCH(C544,#REF!,0)))</f>
        <v>#REF!</v>
      </c>
      <c r="O544" s="114" t="e">
        <f>SUMIF(#REF!,C544,#REF!)</f>
        <v>#REF!</v>
      </c>
      <c r="P544" s="114" t="s">
        <v>36</v>
      </c>
    </row>
    <row r="545" spans="1:16" x14ac:dyDescent="0.3">
      <c r="A545" s="50"/>
      <c r="B545" s="134"/>
      <c r="C545" s="201" t="s">
        <v>1630</v>
      </c>
      <c r="D545" s="182" t="s">
        <v>984</v>
      </c>
      <c r="E545" s="230" t="s">
        <v>701</v>
      </c>
      <c r="F545" s="316">
        <v>12</v>
      </c>
      <c r="G545" s="207">
        <f t="shared" si="100"/>
        <v>127.82249999999999</v>
      </c>
      <c r="H545" s="243">
        <f>207</f>
        <v>207</v>
      </c>
      <c r="I545" s="354"/>
      <c r="J545" s="354"/>
      <c r="K545" s="186">
        <f t="shared" si="101"/>
        <v>1533.87</v>
      </c>
      <c r="L545" s="321" t="e">
        <f t="shared" si="102"/>
        <v>#REF!</v>
      </c>
      <c r="M545" s="450"/>
      <c r="N545" s="131" t="e">
        <f>IF(ISNA(MATCH(C545,#REF!,0)),"",INDEX(#REF!,MATCH(C545,#REF!,0)))</f>
        <v>#REF!</v>
      </c>
      <c r="O545" s="114" t="e">
        <f>SUMIF(#REF!,C545,#REF!)</f>
        <v>#REF!</v>
      </c>
      <c r="P545" s="114" t="s">
        <v>36</v>
      </c>
    </row>
    <row r="546" spans="1:16" ht="39" x14ac:dyDescent="0.3">
      <c r="A546" s="50"/>
      <c r="B546" s="134"/>
      <c r="C546" s="201" t="s">
        <v>1631</v>
      </c>
      <c r="D546" s="182" t="s">
        <v>985</v>
      </c>
      <c r="E546" s="230" t="s">
        <v>971</v>
      </c>
      <c r="F546" s="316">
        <v>51.51</v>
      </c>
      <c r="G546" s="207">
        <f t="shared" si="100"/>
        <v>755.09784507862548</v>
      </c>
      <c r="H546" s="243">
        <f>2358+2891</f>
        <v>5249</v>
      </c>
      <c r="I546" s="354"/>
      <c r="J546" s="354"/>
      <c r="K546" s="186">
        <f t="shared" si="101"/>
        <v>38895.089999999997</v>
      </c>
      <c r="L546" s="321" t="e">
        <f t="shared" si="102"/>
        <v>#REF!</v>
      </c>
      <c r="M546" s="450"/>
      <c r="N546" s="131" t="e">
        <f>IF(ISNA(MATCH(C546,#REF!,0)),"",INDEX(#REF!,MATCH(C546,#REF!,0)))</f>
        <v>#REF!</v>
      </c>
      <c r="O546" s="114" t="e">
        <f>SUMIF(#REF!,C546,#REF!)</f>
        <v>#REF!</v>
      </c>
      <c r="P546" s="114" t="s">
        <v>36</v>
      </c>
    </row>
    <row r="547" spans="1:16" ht="26" x14ac:dyDescent="0.3">
      <c r="A547" s="50"/>
      <c r="B547" s="134"/>
      <c r="C547" s="201" t="s">
        <v>1632</v>
      </c>
      <c r="D547" s="182" t="s">
        <v>986</v>
      </c>
      <c r="E547" s="200" t="s">
        <v>701</v>
      </c>
      <c r="F547" s="316">
        <v>52.636000000000003</v>
      </c>
      <c r="G547" s="207">
        <f t="shared" si="100"/>
        <v>229.74998100159584</v>
      </c>
      <c r="H547" s="243">
        <f>924+708</f>
        <v>1632</v>
      </c>
      <c r="I547" s="354"/>
      <c r="J547" s="354"/>
      <c r="K547" s="186">
        <f t="shared" si="101"/>
        <v>12093.119999999999</v>
      </c>
      <c r="L547" s="321" t="e">
        <f t="shared" si="102"/>
        <v>#REF!</v>
      </c>
      <c r="M547" s="450"/>
      <c r="N547" s="131" t="e">
        <f>IF(ISNA(MATCH(C547,#REF!,0)),"",INDEX(#REF!,MATCH(C547,#REF!,0)))</f>
        <v>#REF!</v>
      </c>
      <c r="O547" s="114" t="e">
        <f>SUMIF(#REF!,C547,#REF!)</f>
        <v>#REF!</v>
      </c>
      <c r="P547" s="114" t="s">
        <v>36</v>
      </c>
    </row>
    <row r="548" spans="1:16" ht="26" x14ac:dyDescent="0.3">
      <c r="A548" s="50"/>
      <c r="B548" s="134"/>
      <c r="C548" s="201" t="s">
        <v>1633</v>
      </c>
      <c r="D548" s="182" t="s">
        <v>1</v>
      </c>
      <c r="E548" s="200" t="s">
        <v>971</v>
      </c>
      <c r="F548" s="316">
        <v>98.98</v>
      </c>
      <c r="G548" s="207">
        <f t="shared" si="100"/>
        <v>993.06577086280049</v>
      </c>
      <c r="H548" s="243">
        <f>6478+6787</f>
        <v>13265</v>
      </c>
      <c r="I548" s="354"/>
      <c r="J548" s="354"/>
      <c r="K548" s="186">
        <f t="shared" si="101"/>
        <v>98293.65</v>
      </c>
      <c r="L548" s="321" t="e">
        <f t="shared" si="102"/>
        <v>#REF!</v>
      </c>
      <c r="M548" s="450"/>
      <c r="N548" s="131" t="e">
        <f>IF(ISNA(MATCH(C548,#REF!,0)),"",INDEX(#REF!,MATCH(C548,#REF!,0)))</f>
        <v>#REF!</v>
      </c>
      <c r="O548" s="114" t="e">
        <f>SUMIF(#REF!,C548,#REF!)</f>
        <v>#REF!</v>
      </c>
      <c r="P548" s="114" t="s">
        <v>36</v>
      </c>
    </row>
    <row r="549" spans="1:16" x14ac:dyDescent="0.3">
      <c r="A549" s="50"/>
      <c r="B549" s="134"/>
      <c r="C549" s="201" t="s">
        <v>1634</v>
      </c>
      <c r="D549" s="182" t="s">
        <v>2</v>
      </c>
      <c r="E549" s="200" t="s">
        <v>701</v>
      </c>
      <c r="F549" s="316">
        <v>58.908999999999999</v>
      </c>
      <c r="G549" s="207">
        <f t="shared" si="100"/>
        <v>132.32816717309748</v>
      </c>
      <c r="H549" s="243">
        <v>1052</v>
      </c>
      <c r="I549" s="354"/>
      <c r="J549" s="354"/>
      <c r="K549" s="186">
        <f t="shared" si="101"/>
        <v>7795.32</v>
      </c>
      <c r="L549" s="321" t="e">
        <f t="shared" si="102"/>
        <v>#REF!</v>
      </c>
      <c r="M549" s="450"/>
      <c r="N549" s="131" t="e">
        <f>IF(ISNA(MATCH(C549,#REF!,0)),"",INDEX(#REF!,MATCH(C549,#REF!,0)))</f>
        <v>#REF!</v>
      </c>
      <c r="O549" s="114" t="e">
        <f>SUMIF(#REF!,C549,#REF!)</f>
        <v>#REF!</v>
      </c>
      <c r="P549" s="114" t="s">
        <v>36</v>
      </c>
    </row>
    <row r="550" spans="1:16" ht="26" x14ac:dyDescent="0.3">
      <c r="A550" s="50"/>
      <c r="B550" s="134"/>
      <c r="C550" s="201" t="s">
        <v>1635</v>
      </c>
      <c r="D550" s="182" t="s">
        <v>201</v>
      </c>
      <c r="E550" s="200" t="s">
        <v>971</v>
      </c>
      <c r="F550" s="316">
        <v>42.42</v>
      </c>
      <c r="G550" s="207">
        <f t="shared" si="100"/>
        <v>1300.8550212164073</v>
      </c>
      <c r="H550" s="243">
        <f>4455+2992</f>
        <v>7447</v>
      </c>
      <c r="I550" s="354"/>
      <c r="J550" s="354"/>
      <c r="K550" s="186">
        <f t="shared" si="101"/>
        <v>55182.27</v>
      </c>
      <c r="L550" s="321" t="e">
        <f t="shared" si="102"/>
        <v>#REF!</v>
      </c>
      <c r="M550" s="450"/>
      <c r="N550" s="131" t="e">
        <f>IF(ISNA(MATCH(C550,#REF!,0)),"",INDEX(#REF!,MATCH(C550,#REF!,0)))</f>
        <v>#REF!</v>
      </c>
      <c r="O550" s="114" t="e">
        <f>SUMIF(#REF!,C550,#REF!)</f>
        <v>#REF!</v>
      </c>
      <c r="P550" s="114" t="s">
        <v>36</v>
      </c>
    </row>
    <row r="551" spans="1:16" x14ac:dyDescent="0.3">
      <c r="A551" s="50"/>
      <c r="B551" s="134"/>
      <c r="C551" s="201" t="s">
        <v>1636</v>
      </c>
      <c r="D551" s="182" t="s">
        <v>705</v>
      </c>
      <c r="E551" s="189" t="s">
        <v>701</v>
      </c>
      <c r="F551" s="316">
        <v>33.817999999999998</v>
      </c>
      <c r="G551" s="207">
        <f t="shared" si="100"/>
        <v>134.75515997397835</v>
      </c>
      <c r="H551" s="243">
        <v>615</v>
      </c>
      <c r="I551" s="354"/>
      <c r="J551" s="354"/>
      <c r="K551" s="186">
        <f t="shared" si="101"/>
        <v>4557.1499999999996</v>
      </c>
      <c r="L551" s="321" t="e">
        <f t="shared" si="102"/>
        <v>#REF!</v>
      </c>
      <c r="M551" s="450"/>
      <c r="N551" s="319" t="e">
        <f>IF(ISNA(MATCH(C551,#REF!,0)),"",INDEX(#REF!,MATCH(C551,#REF!,0)))</f>
        <v>#REF!</v>
      </c>
      <c r="O551" s="113" t="e">
        <f>SUMIF(#REF!,C551,#REF!)</f>
        <v>#REF!</v>
      </c>
      <c r="P551" s="113" t="s">
        <v>36</v>
      </c>
    </row>
    <row r="552" spans="1:16" ht="26" x14ac:dyDescent="0.3">
      <c r="A552" s="50"/>
      <c r="B552" s="134"/>
      <c r="C552" s="201" t="s">
        <v>1637</v>
      </c>
      <c r="D552" s="182" t="s">
        <v>987</v>
      </c>
      <c r="E552" s="200" t="s">
        <v>971</v>
      </c>
      <c r="F552" s="316">
        <v>85.85</v>
      </c>
      <c r="G552" s="207">
        <f t="shared" si="100"/>
        <v>2270.5586488060567</v>
      </c>
      <c r="H552" s="243">
        <f>17530+8776</f>
        <v>26306</v>
      </c>
      <c r="I552" s="354"/>
      <c r="J552" s="354"/>
      <c r="K552" s="186">
        <f t="shared" si="101"/>
        <v>194927.45999999996</v>
      </c>
      <c r="L552" s="321" t="e">
        <f t="shared" si="102"/>
        <v>#REF!</v>
      </c>
      <c r="M552" s="450"/>
      <c r="N552" s="131" t="e">
        <f>IF(ISNA(MATCH(C552,#REF!,0)),"",INDEX(#REF!,MATCH(C552,#REF!,0)))</f>
        <v>#REF!</v>
      </c>
      <c r="O552" s="114" t="e">
        <f>SUMIF(#REF!,C552,#REF!)</f>
        <v>#REF!</v>
      </c>
      <c r="P552" s="114" t="s">
        <v>36</v>
      </c>
    </row>
    <row r="553" spans="1:16" ht="26" x14ac:dyDescent="0.3">
      <c r="A553" s="50"/>
      <c r="B553" s="134"/>
      <c r="C553" s="201" t="s">
        <v>1638</v>
      </c>
      <c r="D553" s="182" t="s">
        <v>988</v>
      </c>
      <c r="E553" s="189" t="s">
        <v>701</v>
      </c>
      <c r="F553" s="316">
        <v>63.726999999999997</v>
      </c>
      <c r="G553" s="207">
        <f t="shared" si="100"/>
        <v>378.01732389724924</v>
      </c>
      <c r="H553" s="243">
        <f>1237+2014</f>
        <v>3251</v>
      </c>
      <c r="I553" s="354"/>
      <c r="J553" s="354"/>
      <c r="K553" s="186">
        <f t="shared" si="101"/>
        <v>24089.91</v>
      </c>
      <c r="L553" s="321" t="e">
        <f t="shared" si="102"/>
        <v>#REF!</v>
      </c>
      <c r="M553" s="450"/>
      <c r="N553" s="319" t="e">
        <f>IF(ISNA(MATCH(C553,#REF!,0)),"",INDEX(#REF!,MATCH(C553,#REF!,0)))</f>
        <v>#REF!</v>
      </c>
      <c r="O553" s="113" t="e">
        <f>SUMIF(#REF!,C553,#REF!)</f>
        <v>#REF!</v>
      </c>
      <c r="P553" s="113" t="s">
        <v>36</v>
      </c>
    </row>
    <row r="554" spans="1:16" x14ac:dyDescent="0.3">
      <c r="A554" s="50"/>
      <c r="B554" s="134"/>
      <c r="C554" s="216" t="s">
        <v>1639</v>
      </c>
      <c r="D554" s="232" t="s">
        <v>1705</v>
      </c>
      <c r="E554" s="233"/>
      <c r="F554" s="234"/>
      <c r="G554" s="235"/>
      <c r="H554" s="301">
        <f>SUM(H555:H562)</f>
        <v>78903</v>
      </c>
      <c r="I554" s="343"/>
      <c r="J554" s="343"/>
      <c r="K554" s="236">
        <f>SUM(K555:K562)</f>
        <v>584671.22999999986</v>
      </c>
      <c r="L554" s="236" t="e">
        <f>SUM(L555:L562)</f>
        <v>#REF!</v>
      </c>
      <c r="M554" s="450"/>
      <c r="N554" s="126" t="e">
        <f>IF(ISNA(MATCH(C554,#REF!,0)),"",INDEX(#REF!,MATCH(C554,#REF!,0)))</f>
        <v>#REF!</v>
      </c>
      <c r="O554" s="127" t="e">
        <f>SUMIF(#REF!,C554,#REF!)</f>
        <v>#REF!</v>
      </c>
      <c r="P554" s="127" t="s">
        <v>36</v>
      </c>
    </row>
    <row r="555" spans="1:16" ht="26" x14ac:dyDescent="0.3">
      <c r="A555" s="50"/>
      <c r="B555" s="134"/>
      <c r="C555" s="201" t="s">
        <v>1640</v>
      </c>
      <c r="D555" s="58" t="s">
        <v>714</v>
      </c>
      <c r="E555" s="200" t="s">
        <v>969</v>
      </c>
      <c r="F555" s="316">
        <v>0.41</v>
      </c>
      <c r="G555" s="207">
        <f>K555/F555</f>
        <v>313714.09756097564</v>
      </c>
      <c r="H555" s="187">
        <f>17357+1</f>
        <v>17358</v>
      </c>
      <c r="I555" s="244"/>
      <c r="J555" s="244"/>
      <c r="K555" s="186">
        <f>H555*$C$4*$C$5</f>
        <v>128622.78</v>
      </c>
      <c r="L555" s="321" t="e">
        <f>IF(N555="поставка Заказчика",N555,K555)</f>
        <v>#REF!</v>
      </c>
      <c r="M555" s="450"/>
      <c r="N555" s="131" t="e">
        <f>IF(ISNA(MATCH(C555,#REF!,0)),"",INDEX(#REF!,MATCH(C555,#REF!,0)))</f>
        <v>#REF!</v>
      </c>
      <c r="O555" s="114" t="e">
        <f>SUMIF(#REF!,C555,#REF!)</f>
        <v>#REF!</v>
      </c>
      <c r="P555" s="114" t="s">
        <v>36</v>
      </c>
    </row>
    <row r="556" spans="1:16" x14ac:dyDescent="0.3">
      <c r="A556" s="50"/>
      <c r="B556" s="134"/>
      <c r="C556" s="201"/>
      <c r="D556" s="58" t="s">
        <v>716</v>
      </c>
      <c r="E556" s="200"/>
      <c r="F556" s="316"/>
      <c r="G556" s="207"/>
      <c r="H556" s="243"/>
      <c r="I556" s="354"/>
      <c r="J556" s="354"/>
      <c r="K556" s="186"/>
      <c r="L556" s="186" t="e">
        <f>K556-O556</f>
        <v>#REF!</v>
      </c>
      <c r="M556" s="450"/>
      <c r="N556" s="131" t="e">
        <f>IF(ISNA(MATCH(C556,#REF!,0)),"",INDEX(#REF!,MATCH(C556,#REF!,0)))</f>
        <v>#REF!</v>
      </c>
      <c r="O556" s="114" t="e">
        <f>SUMIF(#REF!,C556,#REF!)</f>
        <v>#REF!</v>
      </c>
      <c r="P556" s="114" t="s">
        <v>36</v>
      </c>
    </row>
    <row r="557" spans="1:16" ht="26" x14ac:dyDescent="0.3">
      <c r="A557" s="50"/>
      <c r="B557" s="134"/>
      <c r="C557" s="201" t="s">
        <v>1641</v>
      </c>
      <c r="D557" s="58" t="s">
        <v>717</v>
      </c>
      <c r="E557" s="200" t="s">
        <v>977</v>
      </c>
      <c r="F557" s="316">
        <v>1.377</v>
      </c>
      <c r="G557" s="207">
        <f t="shared" ref="G557:G562" si="103">K557/F557</f>
        <v>2878.9760348583877</v>
      </c>
      <c r="H557" s="187">
        <v>535</v>
      </c>
      <c r="I557" s="244"/>
      <c r="J557" s="244"/>
      <c r="K557" s="186">
        <f t="shared" ref="K557:K562" si="104">H557*$C$4*$C$5</f>
        <v>3964.35</v>
      </c>
      <c r="L557" s="321" t="e">
        <f t="shared" ref="L557:L562" si="105">IF(N557="поставка Заказчика",N557,K557)</f>
        <v>#REF!</v>
      </c>
      <c r="M557" s="450"/>
      <c r="N557" s="131" t="e">
        <f>IF(ISNA(MATCH(C557,#REF!,0)),"",INDEX(#REF!,MATCH(C557,#REF!,0)))</f>
        <v>#REF!</v>
      </c>
      <c r="O557" s="114" t="e">
        <f>SUMIF(#REF!,C557,#REF!)</f>
        <v>#REF!</v>
      </c>
      <c r="P557" s="114" t="s">
        <v>36</v>
      </c>
    </row>
    <row r="558" spans="1:16" ht="26" x14ac:dyDescent="0.3">
      <c r="A558" s="50"/>
      <c r="B558" s="134"/>
      <c r="C558" s="201" t="s">
        <v>1642</v>
      </c>
      <c r="D558" s="58" t="s">
        <v>718</v>
      </c>
      <c r="E558" s="200" t="s">
        <v>977</v>
      </c>
      <c r="F558" s="316">
        <v>1.377</v>
      </c>
      <c r="G558" s="207">
        <f t="shared" si="103"/>
        <v>10504.226579520695</v>
      </c>
      <c r="H558" s="187">
        <v>1952</v>
      </c>
      <c r="I558" s="244"/>
      <c r="J558" s="244"/>
      <c r="K558" s="186">
        <f t="shared" si="104"/>
        <v>14464.319999999998</v>
      </c>
      <c r="L558" s="321" t="e">
        <f t="shared" si="105"/>
        <v>#REF!</v>
      </c>
      <c r="M558" s="450"/>
      <c r="N558" s="131" t="e">
        <f>IF(ISNA(MATCH(C558,#REF!,0)),"",INDEX(#REF!,MATCH(C558,#REF!,0)))</f>
        <v>#REF!</v>
      </c>
      <c r="O558" s="114" t="e">
        <f>SUMIF(#REF!,C558,#REF!)</f>
        <v>#REF!</v>
      </c>
      <c r="P558" s="114" t="s">
        <v>36</v>
      </c>
    </row>
    <row r="559" spans="1:16" x14ac:dyDescent="0.3">
      <c r="A559" s="50"/>
      <c r="B559" s="152"/>
      <c r="C559" s="201" t="s">
        <v>1643</v>
      </c>
      <c r="D559" s="221" t="s">
        <v>719</v>
      </c>
      <c r="E559" s="230" t="s">
        <v>1176</v>
      </c>
      <c r="F559" s="316">
        <v>7.9459999999999997</v>
      </c>
      <c r="G559" s="207">
        <f t="shared" si="103"/>
        <v>16537.747294236095</v>
      </c>
      <c r="H559" s="191">
        <v>17734</v>
      </c>
      <c r="I559" s="346"/>
      <c r="J559" s="346"/>
      <c r="K559" s="186">
        <f t="shared" si="104"/>
        <v>131408.94</v>
      </c>
      <c r="L559" s="321" t="e">
        <f t="shared" si="105"/>
        <v>#REF!</v>
      </c>
      <c r="M559" s="450"/>
      <c r="N559" s="131" t="e">
        <f>IF(ISNA(MATCH(C559,#REF!,0)),"",INDEX(#REF!,MATCH(C559,#REF!,0)))</f>
        <v>#REF!</v>
      </c>
      <c r="O559" s="114" t="e">
        <f>SUMIF(#REF!,C559,#REF!)</f>
        <v>#REF!</v>
      </c>
      <c r="P559" s="114" t="s">
        <v>36</v>
      </c>
    </row>
    <row r="560" spans="1:16" ht="26" x14ac:dyDescent="0.3">
      <c r="A560" s="50"/>
      <c r="B560" s="152"/>
      <c r="C560" s="201" t="s">
        <v>1644</v>
      </c>
      <c r="D560" s="182" t="s">
        <v>849</v>
      </c>
      <c r="E560" s="183" t="s">
        <v>977</v>
      </c>
      <c r="F560" s="316">
        <v>2.0270000000000001</v>
      </c>
      <c r="G560" s="207">
        <f t="shared" si="103"/>
        <v>141736.81302417364</v>
      </c>
      <c r="H560" s="243">
        <f>38772</f>
        <v>38772</v>
      </c>
      <c r="I560" s="354"/>
      <c r="J560" s="354"/>
      <c r="K560" s="186">
        <f t="shared" si="104"/>
        <v>287300.51999999996</v>
      </c>
      <c r="L560" s="321" t="e">
        <f t="shared" si="105"/>
        <v>#REF!</v>
      </c>
      <c r="M560" s="450"/>
      <c r="N560" s="123" t="e">
        <f>IF(ISNA(MATCH(C560,#REF!,0)),"",INDEX(#REF!,MATCH(C560,#REF!,0)))</f>
        <v>#REF!</v>
      </c>
      <c r="O560" s="124" t="e">
        <f>SUMIF(#REF!,C560,#REF!)</f>
        <v>#REF!</v>
      </c>
      <c r="P560" s="124" t="s">
        <v>36</v>
      </c>
    </row>
    <row r="561" spans="1:16" ht="39" x14ac:dyDescent="0.3">
      <c r="A561" s="50"/>
      <c r="B561" s="152"/>
      <c r="C561" s="201" t="s">
        <v>1645</v>
      </c>
      <c r="D561" s="260" t="s">
        <v>850</v>
      </c>
      <c r="E561" s="231" t="s">
        <v>977</v>
      </c>
      <c r="F561" s="316">
        <v>1.413</v>
      </c>
      <c r="G561" s="207">
        <f t="shared" si="103"/>
        <v>2879.0445859872607</v>
      </c>
      <c r="H561" s="243">
        <v>549</v>
      </c>
      <c r="I561" s="354"/>
      <c r="J561" s="354"/>
      <c r="K561" s="186">
        <f t="shared" si="104"/>
        <v>4068.0899999999992</v>
      </c>
      <c r="L561" s="321" t="e">
        <f t="shared" si="105"/>
        <v>#REF!</v>
      </c>
      <c r="M561" s="450"/>
      <c r="N561" s="123" t="e">
        <f>IF(ISNA(MATCH(C561,#REF!,0)),"",INDEX(#REF!,MATCH(C561,#REF!,0)))</f>
        <v>#REF!</v>
      </c>
      <c r="O561" s="124" t="e">
        <f>SUMIF(#REF!,C561,#REF!)</f>
        <v>#REF!</v>
      </c>
      <c r="P561" s="124" t="s">
        <v>36</v>
      </c>
    </row>
    <row r="562" spans="1:16" ht="39" x14ac:dyDescent="0.3">
      <c r="A562" s="50"/>
      <c r="B562" s="134"/>
      <c r="C562" s="201" t="s">
        <v>1646</v>
      </c>
      <c r="D562" s="182" t="s">
        <v>851</v>
      </c>
      <c r="E562" s="183" t="s">
        <v>977</v>
      </c>
      <c r="F562" s="316">
        <v>1.413</v>
      </c>
      <c r="G562" s="207">
        <f t="shared" si="103"/>
        <v>10504.055201698511</v>
      </c>
      <c r="H562" s="243">
        <v>2003</v>
      </c>
      <c r="I562" s="354"/>
      <c r="J562" s="354"/>
      <c r="K562" s="186">
        <f t="shared" si="104"/>
        <v>14842.229999999998</v>
      </c>
      <c r="L562" s="321" t="e">
        <f t="shared" si="105"/>
        <v>#REF!</v>
      </c>
      <c r="M562" s="450"/>
      <c r="N562" s="123" t="e">
        <f>IF(ISNA(MATCH(C562,#REF!,0)),"",INDEX(#REF!,MATCH(C562,#REF!,0)))</f>
        <v>#REF!</v>
      </c>
      <c r="O562" s="124" t="e">
        <f>SUMIF(#REF!,C562,#REF!)</f>
        <v>#REF!</v>
      </c>
      <c r="P562" s="124" t="s">
        <v>36</v>
      </c>
    </row>
    <row r="563" spans="1:16" x14ac:dyDescent="0.3">
      <c r="A563" s="50"/>
      <c r="B563" s="128" t="s">
        <v>989</v>
      </c>
      <c r="C563" s="213" t="s">
        <v>1647</v>
      </c>
      <c r="D563" s="266" t="s">
        <v>109</v>
      </c>
      <c r="E563" s="214"/>
      <c r="F563" s="215"/>
      <c r="G563" s="211"/>
      <c r="H563" s="304">
        <f>H564+H567</f>
        <v>37476</v>
      </c>
      <c r="I563" s="347"/>
      <c r="J563" s="347"/>
      <c r="K563" s="205">
        <f>K564+K567</f>
        <v>277697.15999999992</v>
      </c>
      <c r="L563" s="205" t="e">
        <f>L564+L567</f>
        <v>#REF!</v>
      </c>
      <c r="M563" s="450" t="s">
        <v>1164</v>
      </c>
      <c r="N563" s="136" t="e">
        <f>IF(ISNA(MATCH(C563,#REF!,0)),"",INDEX(#REF!,MATCH(C563,#REF!,0)))</f>
        <v>#REF!</v>
      </c>
      <c r="O563" s="137" t="e">
        <f>SUMIF(#REF!,C563,#REF!)</f>
        <v>#REF!</v>
      </c>
      <c r="P563" s="130" t="s">
        <v>37</v>
      </c>
    </row>
    <row r="564" spans="1:16" x14ac:dyDescent="0.3">
      <c r="A564" s="50"/>
      <c r="B564" s="134"/>
      <c r="C564" s="216" t="s">
        <v>1648</v>
      </c>
      <c r="D564" s="232" t="s">
        <v>721</v>
      </c>
      <c r="E564" s="233"/>
      <c r="F564" s="234"/>
      <c r="G564" s="235"/>
      <c r="H564" s="301">
        <f>SUM(H565:H566)</f>
        <v>10729</v>
      </c>
      <c r="I564" s="343"/>
      <c r="J564" s="343"/>
      <c r="K564" s="236">
        <f>SUM(K565:K566)</f>
        <v>79501.889999999985</v>
      </c>
      <c r="L564" s="236" t="e">
        <f>SUM(L565:L566)</f>
        <v>#REF!</v>
      </c>
      <c r="M564" s="450"/>
      <c r="N564" s="126" t="e">
        <f>IF(ISNA(MATCH(C564,#REF!,0)),"",INDEX(#REF!,MATCH(C564,#REF!,0)))</f>
        <v>#REF!</v>
      </c>
      <c r="O564" s="127" t="e">
        <f>SUMIF(#REF!,C564,#REF!)</f>
        <v>#REF!</v>
      </c>
      <c r="P564" s="127" t="s">
        <v>37</v>
      </c>
    </row>
    <row r="565" spans="1:16" ht="26" x14ac:dyDescent="0.3">
      <c r="A565" s="50"/>
      <c r="B565" s="134"/>
      <c r="C565" s="201" t="s">
        <v>1649</v>
      </c>
      <c r="D565" s="182" t="s">
        <v>987</v>
      </c>
      <c r="E565" s="200" t="s">
        <v>971</v>
      </c>
      <c r="F565" s="316">
        <v>30.3</v>
      </c>
      <c r="G565" s="207">
        <f>K565/F565</f>
        <v>2270.6881188118809</v>
      </c>
      <c r="H565" s="243">
        <f>6187+3097+1</f>
        <v>9285</v>
      </c>
      <c r="I565" s="354"/>
      <c r="J565" s="354"/>
      <c r="K565" s="186">
        <f>H565*$C$4*$C$5</f>
        <v>68801.849999999991</v>
      </c>
      <c r="L565" s="321" t="e">
        <f>IF(N565="поставка Заказчика",N565,K565)</f>
        <v>#REF!</v>
      </c>
      <c r="M565" s="450"/>
      <c r="N565" s="131" t="e">
        <f>IF(ISNA(MATCH(C565,#REF!,0)),"",INDEX(#REF!,MATCH(C565,#REF!,0)))</f>
        <v>#REF!</v>
      </c>
      <c r="O565" s="114" t="e">
        <f>SUMIF(#REF!,C565,#REF!)</f>
        <v>#REF!</v>
      </c>
      <c r="P565" s="114" t="s">
        <v>37</v>
      </c>
    </row>
    <row r="566" spans="1:16" ht="26" x14ac:dyDescent="0.3">
      <c r="A566" s="50"/>
      <c r="B566" s="134"/>
      <c r="C566" s="201" t="s">
        <v>1650</v>
      </c>
      <c r="D566" s="182" t="s">
        <v>988</v>
      </c>
      <c r="E566" s="189" t="s">
        <v>701</v>
      </c>
      <c r="F566" s="316">
        <v>44.726999999999997</v>
      </c>
      <c r="G566" s="207">
        <f>K566/F566</f>
        <v>239.22999530484941</v>
      </c>
      <c r="H566" s="243">
        <f>868+576</f>
        <v>1444</v>
      </c>
      <c r="I566" s="354"/>
      <c r="J566" s="354"/>
      <c r="K566" s="186">
        <f>H566*$C$4*$C$5</f>
        <v>10700.039999999999</v>
      </c>
      <c r="L566" s="321" t="e">
        <f>IF(N566="поставка Заказчика",N566,K566)</f>
        <v>#REF!</v>
      </c>
      <c r="M566" s="450"/>
      <c r="N566" s="319" t="e">
        <f>IF(ISNA(MATCH(C566,#REF!,0)),"",INDEX(#REF!,MATCH(C566,#REF!,0)))</f>
        <v>#REF!</v>
      </c>
      <c r="O566" s="113" t="e">
        <f>SUMIF(#REF!,C566,#REF!)</f>
        <v>#REF!</v>
      </c>
      <c r="P566" s="113" t="s">
        <v>37</v>
      </c>
    </row>
    <row r="567" spans="1:16" x14ac:dyDescent="0.3">
      <c r="A567" s="50"/>
      <c r="B567" s="134"/>
      <c r="C567" s="216" t="s">
        <v>1651</v>
      </c>
      <c r="D567" s="232" t="s">
        <v>1705</v>
      </c>
      <c r="E567" s="233"/>
      <c r="F567" s="234"/>
      <c r="G567" s="235"/>
      <c r="H567" s="301">
        <f>SUM(H568:H575)</f>
        <v>26747</v>
      </c>
      <c r="I567" s="343"/>
      <c r="J567" s="343"/>
      <c r="K567" s="236">
        <f>SUM(K568:K575)</f>
        <v>198195.26999999996</v>
      </c>
      <c r="L567" s="236" t="e">
        <f>SUM(L568:L575)</f>
        <v>#REF!</v>
      </c>
      <c r="M567" s="450"/>
      <c r="N567" s="126" t="e">
        <f>IF(ISNA(MATCH(C567,#REF!,0)),"",INDEX(#REF!,MATCH(C567,#REF!,0)))</f>
        <v>#REF!</v>
      </c>
      <c r="O567" s="127" t="e">
        <f>SUMIF(#REF!,C567,#REF!)</f>
        <v>#REF!</v>
      </c>
      <c r="P567" s="127" t="s">
        <v>37</v>
      </c>
    </row>
    <row r="568" spans="1:16" ht="26" x14ac:dyDescent="0.3">
      <c r="A568" s="50"/>
      <c r="B568" s="134"/>
      <c r="C568" s="201" t="s">
        <v>1652</v>
      </c>
      <c r="D568" s="58" t="s">
        <v>714</v>
      </c>
      <c r="E568" s="200" t="s">
        <v>969</v>
      </c>
      <c r="F568" s="316">
        <v>0.41</v>
      </c>
      <c r="G568" s="207">
        <f>K568/F568</f>
        <v>313677.95121951215</v>
      </c>
      <c r="H568" s="187">
        <f>17357-1</f>
        <v>17356</v>
      </c>
      <c r="I568" s="244"/>
      <c r="J568" s="244"/>
      <c r="K568" s="186">
        <f>H568*$C$4*$C$5</f>
        <v>128607.95999999998</v>
      </c>
      <c r="L568" s="321" t="e">
        <f>IF(N568="поставка Заказчика",N568,K568)</f>
        <v>#REF!</v>
      </c>
      <c r="M568" s="450"/>
      <c r="N568" s="131" t="e">
        <f>IF(ISNA(MATCH(C568,#REF!,0)),"",INDEX(#REF!,MATCH(C568,#REF!,0)))</f>
        <v>#REF!</v>
      </c>
      <c r="O568" s="114" t="e">
        <f>SUMIF(#REF!,C568,#REF!)</f>
        <v>#REF!</v>
      </c>
      <c r="P568" s="114" t="s">
        <v>37</v>
      </c>
    </row>
    <row r="569" spans="1:16" x14ac:dyDescent="0.3">
      <c r="A569" s="50"/>
      <c r="B569" s="134"/>
      <c r="C569" s="201"/>
      <c r="D569" s="58" t="s">
        <v>716</v>
      </c>
      <c r="E569" s="200"/>
      <c r="F569" s="316"/>
      <c r="G569" s="207"/>
      <c r="H569" s="243"/>
      <c r="I569" s="354"/>
      <c r="J569" s="354"/>
      <c r="K569" s="186"/>
      <c r="L569" s="186" t="e">
        <f>K569-O569</f>
        <v>#REF!</v>
      </c>
      <c r="M569" s="450"/>
      <c r="N569" s="131" t="e">
        <f>IF(ISNA(MATCH(C569,#REF!,0)),"",INDEX(#REF!,MATCH(C569,#REF!,0)))</f>
        <v>#REF!</v>
      </c>
      <c r="O569" s="114" t="e">
        <f>SUMIF(#REF!,C569,#REF!)</f>
        <v>#REF!</v>
      </c>
      <c r="P569" s="114" t="s">
        <v>37</v>
      </c>
    </row>
    <row r="570" spans="1:16" ht="26" x14ac:dyDescent="0.3">
      <c r="A570" s="50"/>
      <c r="B570" s="134"/>
      <c r="C570" s="201" t="s">
        <v>1653</v>
      </c>
      <c r="D570" s="58" t="s">
        <v>717</v>
      </c>
      <c r="E570" s="200" t="s">
        <v>977</v>
      </c>
      <c r="F570" s="316">
        <v>0.20699999999999999</v>
      </c>
      <c r="G570" s="207">
        <f t="shared" ref="G570:G575" si="106">K570/F570</f>
        <v>2863.768115942029</v>
      </c>
      <c r="H570" s="187">
        <v>80</v>
      </c>
      <c r="I570" s="244"/>
      <c r="J570" s="244"/>
      <c r="K570" s="186">
        <f t="shared" ref="K570:K575" si="107">H570*$C$4*$C$5</f>
        <v>592.79999999999995</v>
      </c>
      <c r="L570" s="321" t="e">
        <f t="shared" ref="L570:L575" si="108">IF(N570="поставка Заказчика",N570,K570)</f>
        <v>#REF!</v>
      </c>
      <c r="M570" s="450"/>
      <c r="N570" s="131" t="e">
        <f>IF(ISNA(MATCH(C570,#REF!,0)),"",INDEX(#REF!,MATCH(C570,#REF!,0)))</f>
        <v>#REF!</v>
      </c>
      <c r="O570" s="114" t="e">
        <f>SUMIF(#REF!,C570,#REF!)</f>
        <v>#REF!</v>
      </c>
      <c r="P570" s="114" t="s">
        <v>37</v>
      </c>
    </row>
    <row r="571" spans="1:16" ht="26" x14ac:dyDescent="0.3">
      <c r="A571" s="50"/>
      <c r="B571" s="134"/>
      <c r="C571" s="201" t="s">
        <v>1654</v>
      </c>
      <c r="D571" s="58" t="s">
        <v>718</v>
      </c>
      <c r="E571" s="200" t="s">
        <v>977</v>
      </c>
      <c r="F571" s="316">
        <v>0.20699999999999999</v>
      </c>
      <c r="G571" s="207">
        <f t="shared" si="106"/>
        <v>10488.550724637682</v>
      </c>
      <c r="H571" s="187">
        <v>293</v>
      </c>
      <c r="I571" s="244"/>
      <c r="J571" s="244"/>
      <c r="K571" s="186">
        <f t="shared" si="107"/>
        <v>2171.13</v>
      </c>
      <c r="L571" s="321" t="e">
        <f t="shared" si="108"/>
        <v>#REF!</v>
      </c>
      <c r="M571" s="450"/>
      <c r="N571" s="131" t="e">
        <f>IF(ISNA(MATCH(C571,#REF!,0)),"",INDEX(#REF!,MATCH(C571,#REF!,0)))</f>
        <v>#REF!</v>
      </c>
      <c r="O571" s="114" t="e">
        <f>SUMIF(#REF!,C571,#REF!)</f>
        <v>#REF!</v>
      </c>
      <c r="P571" s="114" t="s">
        <v>37</v>
      </c>
    </row>
    <row r="572" spans="1:16" x14ac:dyDescent="0.3">
      <c r="A572" s="50"/>
      <c r="B572" s="152"/>
      <c r="C572" s="201" t="s">
        <v>1655</v>
      </c>
      <c r="D572" s="221" t="s">
        <v>719</v>
      </c>
      <c r="E572" s="230" t="s">
        <v>1176</v>
      </c>
      <c r="F572" s="316">
        <v>1.26</v>
      </c>
      <c r="G572" s="207">
        <f t="shared" si="106"/>
        <v>16543.119047619046</v>
      </c>
      <c r="H572" s="191">
        <v>2813</v>
      </c>
      <c r="I572" s="346"/>
      <c r="J572" s="346"/>
      <c r="K572" s="186">
        <f t="shared" si="107"/>
        <v>20844.329999999998</v>
      </c>
      <c r="L572" s="321" t="e">
        <f t="shared" si="108"/>
        <v>#REF!</v>
      </c>
      <c r="M572" s="450"/>
      <c r="N572" s="131" t="e">
        <f>IF(ISNA(MATCH(C572,#REF!,0)),"",INDEX(#REF!,MATCH(C572,#REF!,0)))</f>
        <v>#REF!</v>
      </c>
      <c r="O572" s="114" t="e">
        <f>SUMIF(#REF!,C572,#REF!)</f>
        <v>#REF!</v>
      </c>
      <c r="P572" s="114" t="s">
        <v>37</v>
      </c>
    </row>
    <row r="573" spans="1:16" ht="26" x14ac:dyDescent="0.3">
      <c r="A573" s="50"/>
      <c r="B573" s="152"/>
      <c r="C573" s="201" t="s">
        <v>1656</v>
      </c>
      <c r="D573" s="182" t="s">
        <v>849</v>
      </c>
      <c r="E573" s="183" t="s">
        <v>977</v>
      </c>
      <c r="F573" s="316">
        <v>0.3</v>
      </c>
      <c r="G573" s="207">
        <f t="shared" si="106"/>
        <v>141753.29999999999</v>
      </c>
      <c r="H573" s="243">
        <v>5739</v>
      </c>
      <c r="I573" s="354"/>
      <c r="J573" s="354"/>
      <c r="K573" s="186">
        <f t="shared" si="107"/>
        <v>42525.989999999991</v>
      </c>
      <c r="L573" s="321" t="e">
        <f t="shared" si="108"/>
        <v>#REF!</v>
      </c>
      <c r="M573" s="450"/>
      <c r="N573" s="123" t="e">
        <f>IF(ISNA(MATCH(C573,#REF!,0)),"",INDEX(#REF!,MATCH(C573,#REF!,0)))</f>
        <v>#REF!</v>
      </c>
      <c r="O573" s="124" t="e">
        <f>SUMIF(#REF!,C573,#REF!)</f>
        <v>#REF!</v>
      </c>
      <c r="P573" s="124" t="s">
        <v>37</v>
      </c>
    </row>
    <row r="574" spans="1:16" ht="39" x14ac:dyDescent="0.3">
      <c r="A574" s="50"/>
      <c r="B574" s="152"/>
      <c r="C574" s="201" t="s">
        <v>1657</v>
      </c>
      <c r="D574" s="260" t="s">
        <v>850</v>
      </c>
      <c r="E574" s="231" t="s">
        <v>977</v>
      </c>
      <c r="F574" s="316">
        <v>0.25800000000000001</v>
      </c>
      <c r="G574" s="207">
        <f t="shared" si="106"/>
        <v>2872.0930232558135</v>
      </c>
      <c r="H574" s="243">
        <v>100</v>
      </c>
      <c r="I574" s="354"/>
      <c r="J574" s="354"/>
      <c r="K574" s="186">
        <f t="shared" si="107"/>
        <v>740.99999999999989</v>
      </c>
      <c r="L574" s="321" t="e">
        <f t="shared" si="108"/>
        <v>#REF!</v>
      </c>
      <c r="M574" s="450"/>
      <c r="N574" s="123" t="e">
        <f>IF(ISNA(MATCH(C574,#REF!,0)),"",INDEX(#REF!,MATCH(C574,#REF!,0)))</f>
        <v>#REF!</v>
      </c>
      <c r="O574" s="124" t="e">
        <f>SUMIF(#REF!,C574,#REF!)</f>
        <v>#REF!</v>
      </c>
      <c r="P574" s="124" t="s">
        <v>37</v>
      </c>
    </row>
    <row r="575" spans="1:16" ht="39" x14ac:dyDescent="0.3">
      <c r="A575" s="50"/>
      <c r="B575" s="134"/>
      <c r="C575" s="201" t="s">
        <v>1658</v>
      </c>
      <c r="D575" s="182" t="s">
        <v>851</v>
      </c>
      <c r="E575" s="183" t="s">
        <v>977</v>
      </c>
      <c r="F575" s="316">
        <v>0.25800000000000001</v>
      </c>
      <c r="G575" s="207">
        <f t="shared" si="106"/>
        <v>10511.860465116277</v>
      </c>
      <c r="H575" s="243">
        <v>366</v>
      </c>
      <c r="I575" s="354"/>
      <c r="J575" s="354"/>
      <c r="K575" s="186">
        <f t="shared" si="107"/>
        <v>2712.0599999999995</v>
      </c>
      <c r="L575" s="321" t="e">
        <f t="shared" si="108"/>
        <v>#REF!</v>
      </c>
      <c r="M575" s="450"/>
      <c r="N575" s="123" t="e">
        <f>IF(ISNA(MATCH(C575,#REF!,0)),"",INDEX(#REF!,MATCH(C575,#REF!,0)))</f>
        <v>#REF!</v>
      </c>
      <c r="O575" s="124" t="e">
        <f>SUMIF(#REF!,C575,#REF!)</f>
        <v>#REF!</v>
      </c>
      <c r="P575" s="124" t="s">
        <v>37</v>
      </c>
    </row>
    <row r="576" spans="1:16" ht="26" x14ac:dyDescent="0.3">
      <c r="A576" s="50"/>
      <c r="B576" s="128" t="s">
        <v>990</v>
      </c>
      <c r="C576" s="213" t="s">
        <v>1659</v>
      </c>
      <c r="D576" s="60" t="s">
        <v>991</v>
      </c>
      <c r="E576" s="214"/>
      <c r="F576" s="215"/>
      <c r="G576" s="211"/>
      <c r="H576" s="304">
        <f>H580</f>
        <v>11205</v>
      </c>
      <c r="I576" s="347"/>
      <c r="J576" s="347"/>
      <c r="K576" s="205">
        <f>K580</f>
        <v>83029.049999999988</v>
      </c>
      <c r="L576" s="205" t="e">
        <f>L580</f>
        <v>#REF!</v>
      </c>
      <c r="M576" s="450" t="s">
        <v>1164</v>
      </c>
      <c r="N576" s="136" t="e">
        <f>IF(ISNA(MATCH(C576,#REF!,0)),"",INDEX(#REF!,MATCH(C576,#REF!,0)))</f>
        <v>#REF!</v>
      </c>
      <c r="O576" s="137" t="e">
        <f>SUMIF(#REF!,C576,#REF!)</f>
        <v>#REF!</v>
      </c>
      <c r="P576" s="130" t="s">
        <v>38</v>
      </c>
    </row>
    <row r="577" spans="1:16" ht="13.5" x14ac:dyDescent="0.3">
      <c r="A577" s="50"/>
      <c r="B577" s="125"/>
      <c r="C577" s="262"/>
      <c r="D577" s="142" t="s">
        <v>1707</v>
      </c>
      <c r="E577" s="257"/>
      <c r="F577" s="263"/>
      <c r="G577" s="264"/>
      <c r="H577" s="310"/>
      <c r="I577" s="360"/>
      <c r="J577" s="360"/>
      <c r="K577" s="265"/>
      <c r="L577" s="265" t="e">
        <f>K577-O577</f>
        <v>#REF!</v>
      </c>
      <c r="M577" s="450"/>
      <c r="N577" s="143" t="e">
        <f>IF(ISNA(MATCH(C577,#REF!,0)),"",INDEX(#REF!,MATCH(C577,#REF!,0)))</f>
        <v>#REF!</v>
      </c>
      <c r="O577" s="144" t="e">
        <f>SUMIF(#REF!,C577,#REF!)</f>
        <v>#REF!</v>
      </c>
      <c r="P577" s="144" t="s">
        <v>38</v>
      </c>
    </row>
    <row r="578" spans="1:16" ht="26" x14ac:dyDescent="0.3">
      <c r="A578" s="50"/>
      <c r="B578" s="591"/>
      <c r="C578" s="596" t="s">
        <v>568</v>
      </c>
      <c r="D578" s="163" t="s">
        <v>992</v>
      </c>
      <c r="E578" s="275" t="s">
        <v>970</v>
      </c>
      <c r="F578" s="464">
        <v>1</v>
      </c>
      <c r="G578" s="240" t="str">
        <f>IF(ISERR(L578/F578),"",K578/F578)</f>
        <v/>
      </c>
      <c r="H578" s="242">
        <v>71</v>
      </c>
      <c r="I578" s="353">
        <f>H578/1.0997</f>
        <v>64.563062653450942</v>
      </c>
      <c r="J578" s="353">
        <f>I578/F578</f>
        <v>64.563062653450942</v>
      </c>
      <c r="K578" s="322">
        <f>H578*$C$6</f>
        <v>238.56</v>
      </c>
      <c r="L578" s="323" t="e">
        <f>IF(N578="Заказчика",N578,INDEX(#REF!,MATCH(C578,#REF!,0)))</f>
        <v>#REF!</v>
      </c>
      <c r="M578" s="450"/>
      <c r="N578" s="145" t="e">
        <f>IF(ISNA(MATCH(C578,#REF!,0)),"",INDEX(#REF!,MATCH(C578,#REF!,0)))</f>
        <v>#REF!</v>
      </c>
      <c r="O578" s="146" t="e">
        <f>SUMIF(#REF!,C578,#REF!)</f>
        <v>#REF!</v>
      </c>
      <c r="P578" s="146" t="s">
        <v>38</v>
      </c>
    </row>
    <row r="579" spans="1:16" ht="26" x14ac:dyDescent="0.3">
      <c r="A579" s="50"/>
      <c r="B579" s="591"/>
      <c r="C579" s="596" t="s">
        <v>569</v>
      </c>
      <c r="D579" s="163" t="s">
        <v>993</v>
      </c>
      <c r="E579" s="275" t="s">
        <v>970</v>
      </c>
      <c r="F579" s="464">
        <v>1</v>
      </c>
      <c r="G579" s="240" t="str">
        <f>IF(ISERR(L579/F579),"",K579/F579)</f>
        <v/>
      </c>
      <c r="H579" s="242">
        <v>85</v>
      </c>
      <c r="I579" s="353">
        <f>H579/1.0997</f>
        <v>77.293807402018743</v>
      </c>
      <c r="J579" s="353">
        <f>I579/F579</f>
        <v>77.293807402018743</v>
      </c>
      <c r="K579" s="322">
        <f>H579*$C$6</f>
        <v>285.59999999999997</v>
      </c>
      <c r="L579" s="323" t="e">
        <f>IF(N579="Заказчика",N579,INDEX(#REF!,MATCH(C579,#REF!,0)))</f>
        <v>#REF!</v>
      </c>
      <c r="M579" s="450"/>
      <c r="N579" s="145" t="e">
        <f>IF(ISNA(MATCH(C579,#REF!,0)),"",INDEX(#REF!,MATCH(C579,#REF!,0)))</f>
        <v>#REF!</v>
      </c>
      <c r="O579" s="146" t="e">
        <f>SUMIF(#REF!,C579,#REF!)</f>
        <v>#REF!</v>
      </c>
      <c r="P579" s="146" t="s">
        <v>38</v>
      </c>
    </row>
    <row r="580" spans="1:16" x14ac:dyDescent="0.3">
      <c r="A580" s="50"/>
      <c r="B580" s="134"/>
      <c r="C580" s="216" t="s">
        <v>1660</v>
      </c>
      <c r="D580" s="232" t="s">
        <v>721</v>
      </c>
      <c r="E580" s="233"/>
      <c r="F580" s="234"/>
      <c r="G580" s="235"/>
      <c r="H580" s="301">
        <f>SUM(H581:H583)</f>
        <v>11205</v>
      </c>
      <c r="I580" s="343"/>
      <c r="J580" s="343"/>
      <c r="K580" s="236">
        <f>SUM(K581:K583)</f>
        <v>83029.049999999988</v>
      </c>
      <c r="L580" s="236" t="e">
        <f>SUM(L581:L583)</f>
        <v>#REF!</v>
      </c>
      <c r="M580" s="450"/>
      <c r="N580" s="126" t="e">
        <f>IF(ISNA(MATCH(C580,#REF!,0)),"",INDEX(#REF!,MATCH(C580,#REF!,0)))</f>
        <v>#REF!</v>
      </c>
      <c r="O580" s="127" t="e">
        <f>SUMIF(#REF!,C580,#REF!)</f>
        <v>#REF!</v>
      </c>
      <c r="P580" s="127" t="s">
        <v>38</v>
      </c>
    </row>
    <row r="581" spans="1:16" x14ac:dyDescent="0.3">
      <c r="A581" s="50"/>
      <c r="B581" s="134"/>
      <c r="C581" s="201" t="s">
        <v>1661</v>
      </c>
      <c r="D581" s="182" t="s">
        <v>994</v>
      </c>
      <c r="E581" s="200" t="s">
        <v>970</v>
      </c>
      <c r="F581" s="316">
        <v>2</v>
      </c>
      <c r="G581" s="207">
        <f>K581/F581</f>
        <v>389.02499999999998</v>
      </c>
      <c r="H581" s="243">
        <v>105</v>
      </c>
      <c r="I581" s="354"/>
      <c r="J581" s="354"/>
      <c r="K581" s="186">
        <f>H581*$C$4*$C$5</f>
        <v>778.05</v>
      </c>
      <c r="L581" s="321" t="e">
        <f>IF(N581="поставка Заказчика",N581,K581)</f>
        <v>#REF!</v>
      </c>
      <c r="M581" s="450"/>
      <c r="N581" s="131" t="e">
        <f>IF(ISNA(MATCH(C581,#REF!,0)),"",INDEX(#REF!,MATCH(C581,#REF!,0)))</f>
        <v>#REF!</v>
      </c>
      <c r="O581" s="114" t="e">
        <f>SUMIF(#REF!,C581,#REF!)</f>
        <v>#REF!</v>
      </c>
      <c r="P581" s="114" t="s">
        <v>38</v>
      </c>
    </row>
    <row r="582" spans="1:16" ht="52" x14ac:dyDescent="0.3">
      <c r="A582" s="50"/>
      <c r="B582" s="134"/>
      <c r="C582" s="201" t="s">
        <v>1662</v>
      </c>
      <c r="D582" s="182" t="s">
        <v>995</v>
      </c>
      <c r="E582" s="200" t="s">
        <v>970</v>
      </c>
      <c r="F582" s="316">
        <v>2</v>
      </c>
      <c r="G582" s="207">
        <f>K582/F582</f>
        <v>39650.909999999996</v>
      </c>
      <c r="H582" s="243">
        <f>138+10563+1</f>
        <v>10702</v>
      </c>
      <c r="I582" s="354"/>
      <c r="J582" s="354"/>
      <c r="K582" s="186">
        <f>H582*$C$4*$C$5</f>
        <v>79301.819999999992</v>
      </c>
      <c r="L582" s="321" t="e">
        <f>IF(N582="поставка Заказчика",N582,K582)</f>
        <v>#REF!</v>
      </c>
      <c r="M582" s="450"/>
      <c r="N582" s="131" t="e">
        <f>IF(ISNA(MATCH(C582,#REF!,0)),"",INDEX(#REF!,MATCH(C582,#REF!,0)))</f>
        <v>#REF!</v>
      </c>
      <c r="O582" s="114" t="e">
        <f>SUMIF(#REF!,C582,#REF!)</f>
        <v>#REF!</v>
      </c>
      <c r="P582" s="114" t="s">
        <v>38</v>
      </c>
    </row>
    <row r="583" spans="1:16" ht="26" x14ac:dyDescent="0.3">
      <c r="A583" s="50"/>
      <c r="B583" s="134"/>
      <c r="C583" s="201" t="s">
        <v>1663</v>
      </c>
      <c r="D583" s="182" t="s">
        <v>996</v>
      </c>
      <c r="E583" s="200" t="s">
        <v>1179</v>
      </c>
      <c r="F583" s="316">
        <v>0.01</v>
      </c>
      <c r="G583" s="207">
        <f>K583/F583</f>
        <v>294918</v>
      </c>
      <c r="H583" s="243">
        <v>398</v>
      </c>
      <c r="I583" s="354"/>
      <c r="J583" s="354"/>
      <c r="K583" s="186">
        <f>H583*$C$4*$C$5</f>
        <v>2949.18</v>
      </c>
      <c r="L583" s="321" t="e">
        <f>IF(N583="поставка Заказчика",N583,K583)</f>
        <v>#REF!</v>
      </c>
      <c r="M583" s="450"/>
      <c r="N583" s="131" t="e">
        <f>IF(ISNA(MATCH(C583,#REF!,0)),"",INDEX(#REF!,MATCH(C583,#REF!,0)))</f>
        <v>#REF!</v>
      </c>
      <c r="O583" s="114" t="e">
        <f>SUMIF(#REF!,C583,#REF!)</f>
        <v>#REF!</v>
      </c>
      <c r="P583" s="114" t="s">
        <v>38</v>
      </c>
    </row>
    <row r="584" spans="1:16" x14ac:dyDescent="0.3">
      <c r="A584" s="50"/>
      <c r="B584" s="128" t="s">
        <v>997</v>
      </c>
      <c r="C584" s="213" t="s">
        <v>1664</v>
      </c>
      <c r="D584" s="60" t="s">
        <v>998</v>
      </c>
      <c r="E584" s="214"/>
      <c r="F584" s="215"/>
      <c r="G584" s="211"/>
      <c r="H584" s="304">
        <f>H592+H594</f>
        <v>26021</v>
      </c>
      <c r="I584" s="347"/>
      <c r="J584" s="347"/>
      <c r="K584" s="205">
        <f>K592+K594</f>
        <v>192815.60999999993</v>
      </c>
      <c r="L584" s="205" t="e">
        <f>L592+L594</f>
        <v>#REF!</v>
      </c>
      <c r="M584" s="450" t="s">
        <v>1164</v>
      </c>
      <c r="N584" s="136" t="e">
        <f>IF(ISNA(MATCH(C584,#REF!,0)),"",INDEX(#REF!,MATCH(C584,#REF!,0)))</f>
        <v>#REF!</v>
      </c>
      <c r="O584" s="137" t="e">
        <f>SUMIF(#REF!,C584,#REF!)</f>
        <v>#REF!</v>
      </c>
      <c r="P584" s="130" t="s">
        <v>39</v>
      </c>
    </row>
    <row r="585" spans="1:16" ht="13.5" x14ac:dyDescent="0.3">
      <c r="A585" s="50"/>
      <c r="B585" s="125"/>
      <c r="C585" s="262"/>
      <c r="D585" s="142" t="s">
        <v>1707</v>
      </c>
      <c r="E585" s="267"/>
      <c r="F585" s="263"/>
      <c r="G585" s="264"/>
      <c r="H585" s="310"/>
      <c r="I585" s="360"/>
      <c r="J585" s="360"/>
      <c r="K585" s="265"/>
      <c r="L585" s="265" t="e">
        <f>K585-O585</f>
        <v>#REF!</v>
      </c>
      <c r="M585" s="461"/>
      <c r="N585" s="157" t="e">
        <f>IF(ISNA(MATCH(C585,#REF!,0)),"",INDEX(#REF!,MATCH(C585,#REF!,0)))</f>
        <v>#REF!</v>
      </c>
      <c r="O585" s="158" t="e">
        <f>SUMIF(#REF!,C585,#REF!)</f>
        <v>#REF!</v>
      </c>
      <c r="P585" s="158" t="s">
        <v>39</v>
      </c>
    </row>
    <row r="586" spans="1:16" ht="26" x14ac:dyDescent="0.3">
      <c r="A586" s="50"/>
      <c r="B586" s="591"/>
      <c r="C586" s="596" t="s">
        <v>570</v>
      </c>
      <c r="D586" s="163" t="s">
        <v>999</v>
      </c>
      <c r="E586" s="275" t="s">
        <v>970</v>
      </c>
      <c r="F586" s="464">
        <v>2</v>
      </c>
      <c r="G586" s="240" t="str">
        <f t="shared" ref="G586:G591" si="109">IF(ISERR(L586/F586),"",K586/F586)</f>
        <v/>
      </c>
      <c r="H586" s="242">
        <f>176*1.101-1</f>
        <v>192.77600000000001</v>
      </c>
      <c r="I586" s="353">
        <f t="shared" ref="I586:I591" si="110">H586/1.0997</f>
        <v>175.29871783213605</v>
      </c>
      <c r="J586" s="353">
        <f t="shared" ref="J586:J591" si="111">I586/F586</f>
        <v>87.649358916068024</v>
      </c>
      <c r="K586" s="322">
        <f t="shared" ref="K586:K591" si="112">H586*$C$6</f>
        <v>647.72735999999998</v>
      </c>
      <c r="L586" s="323" t="e">
        <f>IF(N586="Заказчика",N586,INDEX(#REF!,MATCH(C586,#REF!,0)))</f>
        <v>#REF!</v>
      </c>
      <c r="M586" s="450"/>
      <c r="N586" s="145" t="e">
        <f>IF(ISNA(MATCH(C586,#REF!,0)),"",INDEX(#REF!,MATCH(C586,#REF!,0)))</f>
        <v>#REF!</v>
      </c>
      <c r="O586" s="146" t="e">
        <f>SUMIF(#REF!,C586,#REF!)</f>
        <v>#REF!</v>
      </c>
      <c r="P586" s="146" t="s">
        <v>39</v>
      </c>
    </row>
    <row r="587" spans="1:16" x14ac:dyDescent="0.3">
      <c r="A587" s="50"/>
      <c r="B587" s="591"/>
      <c r="C587" s="596" t="s">
        <v>571</v>
      </c>
      <c r="D587" s="163" t="s">
        <v>1000</v>
      </c>
      <c r="E587" s="275" t="s">
        <v>970</v>
      </c>
      <c r="F587" s="464">
        <v>2</v>
      </c>
      <c r="G587" s="240" t="str">
        <f t="shared" si="109"/>
        <v/>
      </c>
      <c r="H587" s="242">
        <f>193*1.101</f>
        <v>212.49299999999999</v>
      </c>
      <c r="I587" s="353">
        <f t="shared" si="110"/>
        <v>193.22815313267256</v>
      </c>
      <c r="J587" s="353">
        <f t="shared" si="111"/>
        <v>96.61407656633628</v>
      </c>
      <c r="K587" s="322">
        <f t="shared" si="112"/>
        <v>713.97647999999992</v>
      </c>
      <c r="L587" s="323" t="e">
        <f>IF(N587="Заказчика",N587,INDEX(#REF!,MATCH(C587,#REF!,0)))</f>
        <v>#REF!</v>
      </c>
      <c r="M587" s="450"/>
      <c r="N587" s="145" t="e">
        <f>IF(ISNA(MATCH(C587,#REF!,0)),"",INDEX(#REF!,MATCH(C587,#REF!,0)))</f>
        <v>#REF!</v>
      </c>
      <c r="O587" s="146" t="e">
        <f>SUMIF(#REF!,C587,#REF!)</f>
        <v>#REF!</v>
      </c>
      <c r="P587" s="146" t="s">
        <v>39</v>
      </c>
    </row>
    <row r="588" spans="1:16" ht="26" x14ac:dyDescent="0.3">
      <c r="A588" s="50"/>
      <c r="B588" s="591"/>
      <c r="C588" s="596" t="s">
        <v>572</v>
      </c>
      <c r="D588" s="163" t="s">
        <v>992</v>
      </c>
      <c r="E588" s="275" t="s">
        <v>970</v>
      </c>
      <c r="F588" s="464">
        <v>2</v>
      </c>
      <c r="G588" s="240" t="str">
        <f t="shared" si="109"/>
        <v/>
      </c>
      <c r="H588" s="242">
        <f>131*1.101</f>
        <v>144.23099999999999</v>
      </c>
      <c r="I588" s="353">
        <f t="shared" si="110"/>
        <v>131.15486041647722</v>
      </c>
      <c r="J588" s="353">
        <f t="shared" si="111"/>
        <v>65.57743020823861</v>
      </c>
      <c r="K588" s="322">
        <f t="shared" si="112"/>
        <v>484.61615999999998</v>
      </c>
      <c r="L588" s="323" t="e">
        <f>IF(N588="Заказчика",N588,INDEX(#REF!,MATCH(C588,#REF!,0)))</f>
        <v>#REF!</v>
      </c>
      <c r="M588" s="450"/>
      <c r="N588" s="145" t="e">
        <f>IF(ISNA(MATCH(C588,#REF!,0)),"",INDEX(#REF!,MATCH(C588,#REF!,0)))</f>
        <v>#REF!</v>
      </c>
      <c r="O588" s="146" t="e">
        <f>SUMIF(#REF!,C588,#REF!)</f>
        <v>#REF!</v>
      </c>
      <c r="P588" s="146" t="s">
        <v>39</v>
      </c>
    </row>
    <row r="589" spans="1:16" ht="26" x14ac:dyDescent="0.3">
      <c r="A589" s="50"/>
      <c r="B589" s="591"/>
      <c r="C589" s="596" t="s">
        <v>573</v>
      </c>
      <c r="D589" s="163" t="s">
        <v>993</v>
      </c>
      <c r="E589" s="275" t="s">
        <v>970</v>
      </c>
      <c r="F589" s="464">
        <v>2</v>
      </c>
      <c r="G589" s="240" t="str">
        <f t="shared" si="109"/>
        <v/>
      </c>
      <c r="H589" s="242">
        <f>154*1.101</f>
        <v>169.554</v>
      </c>
      <c r="I589" s="353">
        <f t="shared" si="110"/>
        <v>154.18204964990454</v>
      </c>
      <c r="J589" s="353">
        <f t="shared" si="111"/>
        <v>77.091024824952271</v>
      </c>
      <c r="K589" s="322">
        <f t="shared" si="112"/>
        <v>569.70143999999993</v>
      </c>
      <c r="L589" s="323" t="e">
        <f>IF(N589="Заказчика",N589,INDEX(#REF!,MATCH(C589,#REF!,0)))</f>
        <v>#REF!</v>
      </c>
      <c r="M589" s="450"/>
      <c r="N589" s="145" t="e">
        <f>IF(ISNA(MATCH(C589,#REF!,0)),"",INDEX(#REF!,MATCH(C589,#REF!,0)))</f>
        <v>#REF!</v>
      </c>
      <c r="O589" s="146" t="e">
        <f>SUMIF(#REF!,C589,#REF!)</f>
        <v>#REF!</v>
      </c>
      <c r="P589" s="146" t="s">
        <v>39</v>
      </c>
    </row>
    <row r="590" spans="1:16" x14ac:dyDescent="0.3">
      <c r="A590" s="50"/>
      <c r="B590" s="591"/>
      <c r="C590" s="596" t="s">
        <v>574</v>
      </c>
      <c r="D590" s="163" t="s">
        <v>1001</v>
      </c>
      <c r="E590" s="275" t="s">
        <v>970</v>
      </c>
      <c r="F590" s="464">
        <v>2</v>
      </c>
      <c r="G590" s="240" t="str">
        <f t="shared" si="109"/>
        <v/>
      </c>
      <c r="H590" s="242">
        <f>139*1.101</f>
        <v>153.03899999999999</v>
      </c>
      <c r="I590" s="353">
        <f t="shared" si="110"/>
        <v>139.1643175411476</v>
      </c>
      <c r="J590" s="353">
        <f t="shared" si="111"/>
        <v>69.582158770573798</v>
      </c>
      <c r="K590" s="322">
        <f t="shared" si="112"/>
        <v>514.21103999999991</v>
      </c>
      <c r="L590" s="323" t="e">
        <f>IF(N590="Заказчика",N590,INDEX(#REF!,MATCH(C590,#REF!,0)))</f>
        <v>#REF!</v>
      </c>
      <c r="M590" s="450"/>
      <c r="N590" s="145" t="e">
        <f>IF(ISNA(MATCH(C590,#REF!,0)),"",INDEX(#REF!,MATCH(C590,#REF!,0)))</f>
        <v>#REF!</v>
      </c>
      <c r="O590" s="146" t="e">
        <f>SUMIF(#REF!,C590,#REF!)</f>
        <v>#REF!</v>
      </c>
      <c r="P590" s="146" t="s">
        <v>39</v>
      </c>
    </row>
    <row r="591" spans="1:16" x14ac:dyDescent="0.3">
      <c r="A591" s="50"/>
      <c r="B591" s="591"/>
      <c r="C591" s="596" t="s">
        <v>575</v>
      </c>
      <c r="D591" s="163" t="s">
        <v>1002</v>
      </c>
      <c r="E591" s="275" t="s">
        <v>970</v>
      </c>
      <c r="F591" s="464">
        <v>1</v>
      </c>
      <c r="G591" s="240" t="str">
        <f t="shared" si="109"/>
        <v/>
      </c>
      <c r="H591" s="242">
        <f>139*1.101</f>
        <v>153.03899999999999</v>
      </c>
      <c r="I591" s="353">
        <f t="shared" si="110"/>
        <v>139.1643175411476</v>
      </c>
      <c r="J591" s="353">
        <f t="shared" si="111"/>
        <v>139.1643175411476</v>
      </c>
      <c r="K591" s="322">
        <f t="shared" si="112"/>
        <v>514.21103999999991</v>
      </c>
      <c r="L591" s="323" t="e">
        <f>IF(N591="Заказчика",N591,INDEX(#REF!,MATCH(C591,#REF!,0)))</f>
        <v>#REF!</v>
      </c>
      <c r="M591" s="450"/>
      <c r="N591" s="145" t="e">
        <f>IF(ISNA(MATCH(C591,#REF!,0)),"",INDEX(#REF!,MATCH(C591,#REF!,0)))</f>
        <v>#REF!</v>
      </c>
      <c r="O591" s="146" t="e">
        <f>SUMIF(#REF!,C591,#REF!)</f>
        <v>#REF!</v>
      </c>
      <c r="P591" s="146" t="s">
        <v>39</v>
      </c>
    </row>
    <row r="592" spans="1:16" x14ac:dyDescent="0.3">
      <c r="A592" s="50"/>
      <c r="B592" s="134"/>
      <c r="C592" s="216" t="s">
        <v>1665</v>
      </c>
      <c r="D592" s="232" t="s">
        <v>721</v>
      </c>
      <c r="E592" s="233"/>
      <c r="F592" s="234"/>
      <c r="G592" s="235"/>
      <c r="H592" s="301">
        <f>SUM(H593:H593)</f>
        <v>332</v>
      </c>
      <c r="I592" s="343"/>
      <c r="J592" s="343"/>
      <c r="K592" s="236">
        <f>SUM(K593:K593)</f>
        <v>2460.12</v>
      </c>
      <c r="L592" s="236" t="e">
        <f>SUM(L593:L593)</f>
        <v>#REF!</v>
      </c>
      <c r="M592" s="450"/>
      <c r="N592" s="126" t="e">
        <f>IF(ISNA(MATCH(C592,#REF!,0)),"",INDEX(#REF!,MATCH(C592,#REF!,0)))</f>
        <v>#REF!</v>
      </c>
      <c r="O592" s="127" t="e">
        <f>SUMIF(#REF!,C592,#REF!)</f>
        <v>#REF!</v>
      </c>
      <c r="P592" s="127" t="s">
        <v>39</v>
      </c>
    </row>
    <row r="593" spans="1:16" x14ac:dyDescent="0.3">
      <c r="A593" s="50"/>
      <c r="B593" s="134"/>
      <c r="C593" s="201" t="s">
        <v>1666</v>
      </c>
      <c r="D593" s="182" t="s">
        <v>994</v>
      </c>
      <c r="E593" s="259" t="s">
        <v>969</v>
      </c>
      <c r="F593" s="316">
        <v>7.0000000000000001E-3</v>
      </c>
      <c r="G593" s="207">
        <f>K593/F593</f>
        <v>351445.71428571426</v>
      </c>
      <c r="H593" s="243">
        <f>244+88</f>
        <v>332</v>
      </c>
      <c r="I593" s="354"/>
      <c r="J593" s="354"/>
      <c r="K593" s="186">
        <f>H593*$C$4*$C$5</f>
        <v>2460.12</v>
      </c>
      <c r="L593" s="321" t="e">
        <f>IF(N593="поставка Заказчика",N593,K593)</f>
        <v>#REF!</v>
      </c>
      <c r="M593" s="450"/>
      <c r="N593" s="131" t="e">
        <f>IF(ISNA(MATCH(C593,#REF!,0)),"",INDEX(#REF!,MATCH(C593,#REF!,0)))</f>
        <v>#REF!</v>
      </c>
      <c r="O593" s="114" t="e">
        <f>SUMIF(#REF!,C593,#REF!)</f>
        <v>#REF!</v>
      </c>
      <c r="P593" s="114" t="s">
        <v>39</v>
      </c>
    </row>
    <row r="594" spans="1:16" x14ac:dyDescent="0.3">
      <c r="A594" s="50"/>
      <c r="B594" s="134"/>
      <c r="C594" s="216" t="s">
        <v>1003</v>
      </c>
      <c r="D594" s="232" t="s">
        <v>1705</v>
      </c>
      <c r="E594" s="233"/>
      <c r="F594" s="234"/>
      <c r="G594" s="235"/>
      <c r="H594" s="301">
        <f>SUM(H595:H605)</f>
        <v>25689</v>
      </c>
      <c r="I594" s="343"/>
      <c r="J594" s="343"/>
      <c r="K594" s="236">
        <f>SUM(K595:K605)</f>
        <v>190355.48999999993</v>
      </c>
      <c r="L594" s="236" t="e">
        <f>SUM(L595:L605)</f>
        <v>#REF!</v>
      </c>
      <c r="M594" s="450"/>
      <c r="N594" s="126" t="e">
        <f>IF(ISNA(MATCH(C594,#REF!,0)),"",INDEX(#REF!,MATCH(C594,#REF!,0)))</f>
        <v>#REF!</v>
      </c>
      <c r="O594" s="127" t="e">
        <f>SUMIF(#REF!,C594,#REF!)</f>
        <v>#REF!</v>
      </c>
      <c r="P594" s="127" t="s">
        <v>39</v>
      </c>
    </row>
    <row r="595" spans="1:16" ht="26" x14ac:dyDescent="0.3">
      <c r="A595" s="50"/>
      <c r="B595" s="134"/>
      <c r="C595" s="201" t="s">
        <v>1667</v>
      </c>
      <c r="D595" s="58" t="s">
        <v>1005</v>
      </c>
      <c r="E595" s="200" t="s">
        <v>1004</v>
      </c>
      <c r="F595" s="316">
        <f>2+2</f>
        <v>4</v>
      </c>
      <c r="G595" s="207">
        <f>K595/F595</f>
        <v>25859.047499999997</v>
      </c>
      <c r="H595" s="187">
        <f>2483+11476</f>
        <v>13959</v>
      </c>
      <c r="I595" s="244"/>
      <c r="J595" s="244"/>
      <c r="K595" s="186">
        <f t="shared" ref="K595:K605" si="113">H595*$C$4*$C$5</f>
        <v>103436.18999999999</v>
      </c>
      <c r="L595" s="321" t="e">
        <f>IF(N595="поставка Заказчика",N595,K595)</f>
        <v>#REF!</v>
      </c>
      <c r="M595" s="450"/>
      <c r="N595" s="131" t="e">
        <f>IF(ISNA(MATCH(C595,#REF!,0)),"",INDEX(#REF!,MATCH(C595,#REF!,0)))</f>
        <v>#REF!</v>
      </c>
      <c r="O595" s="114" t="e">
        <f>SUMIF(#REF!,C595,#REF!)</f>
        <v>#REF!</v>
      </c>
      <c r="P595" s="114" t="s">
        <v>39</v>
      </c>
    </row>
    <row r="596" spans="1:16" ht="39" x14ac:dyDescent="0.3">
      <c r="A596" s="50"/>
      <c r="B596" s="134"/>
      <c r="C596" s="201" t="s">
        <v>117</v>
      </c>
      <c r="D596" s="58" t="s">
        <v>1006</v>
      </c>
      <c r="E596" s="200" t="s">
        <v>1179</v>
      </c>
      <c r="F596" s="316">
        <f>0.004+0.01</f>
        <v>1.4E-2</v>
      </c>
      <c r="G596" s="207">
        <f>K596/F596</f>
        <v>1410546.4285714284</v>
      </c>
      <c r="H596" s="187">
        <f>342+2323</f>
        <v>2665</v>
      </c>
      <c r="I596" s="244"/>
      <c r="J596" s="244"/>
      <c r="K596" s="186">
        <f t="shared" si="113"/>
        <v>19747.649999999998</v>
      </c>
      <c r="L596" s="321" t="e">
        <f>IF(N596="поставка Заказчика",N596,K596)</f>
        <v>#REF!</v>
      </c>
      <c r="M596" s="450"/>
      <c r="N596" s="131" t="e">
        <f>IF(ISNA(MATCH(C596,#REF!,0)),"",INDEX(#REF!,MATCH(C596,#REF!,0)))</f>
        <v>#REF!</v>
      </c>
      <c r="O596" s="114" t="e">
        <f>SUMIF(#REF!,C596,#REF!)</f>
        <v>#REF!</v>
      </c>
      <c r="P596" s="114" t="s">
        <v>39</v>
      </c>
    </row>
    <row r="597" spans="1:16" ht="26" x14ac:dyDescent="0.3">
      <c r="A597" s="50"/>
      <c r="B597" s="134"/>
      <c r="C597" s="201" t="s">
        <v>1668</v>
      </c>
      <c r="D597" s="58" t="s">
        <v>1008</v>
      </c>
      <c r="E597" s="200" t="s">
        <v>969</v>
      </c>
      <c r="F597" s="316">
        <f>0.089+0.006</f>
        <v>9.5000000000000001E-2</v>
      </c>
      <c r="G597" s="207">
        <f>K597/F597</f>
        <v>300066</v>
      </c>
      <c r="H597" s="187">
        <f>3767+11+69</f>
        <v>3847</v>
      </c>
      <c r="I597" s="244"/>
      <c r="J597" s="244"/>
      <c r="K597" s="186">
        <f t="shared" si="113"/>
        <v>28506.27</v>
      </c>
      <c r="L597" s="321" t="e">
        <f>IF(N597="поставка Заказчика",N597,K597)</f>
        <v>#REF!</v>
      </c>
      <c r="M597" s="450"/>
      <c r="N597" s="131" t="e">
        <f>IF(ISNA(MATCH(C597,#REF!,0)),"",INDEX(#REF!,MATCH(C597,#REF!,0)))</f>
        <v>#REF!</v>
      </c>
      <c r="O597" s="114" t="e">
        <f>SUMIF(#REF!,C597,#REF!)</f>
        <v>#REF!</v>
      </c>
      <c r="P597" s="114" t="s">
        <v>39</v>
      </c>
    </row>
    <row r="598" spans="1:16" x14ac:dyDescent="0.3">
      <c r="A598" s="50"/>
      <c r="B598" s="134"/>
      <c r="C598" s="201"/>
      <c r="D598" s="58" t="s">
        <v>1007</v>
      </c>
      <c r="E598" s="200"/>
      <c r="F598" s="316"/>
      <c r="G598" s="207"/>
      <c r="H598" s="187"/>
      <c r="I598" s="244"/>
      <c r="J598" s="244"/>
      <c r="K598" s="186">
        <f t="shared" si="113"/>
        <v>0</v>
      </c>
      <c r="L598" s="186" t="e">
        <f>K598-O598</f>
        <v>#REF!</v>
      </c>
      <c r="M598" s="450"/>
      <c r="N598" s="131" t="e">
        <f>IF(ISNA(MATCH(C598,#REF!,0)),"",INDEX(#REF!,MATCH(C598,#REF!,0)))</f>
        <v>#REF!</v>
      </c>
      <c r="O598" s="114" t="e">
        <f>SUMIF(#REF!,C598,#REF!)</f>
        <v>#REF!</v>
      </c>
      <c r="P598" s="114" t="s">
        <v>39</v>
      </c>
    </row>
    <row r="599" spans="1:16" ht="26" x14ac:dyDescent="0.3">
      <c r="A599" s="50"/>
      <c r="B599" s="134"/>
      <c r="C599" s="201" t="s">
        <v>111</v>
      </c>
      <c r="D599" s="58" t="s">
        <v>717</v>
      </c>
      <c r="E599" s="200" t="s">
        <v>977</v>
      </c>
      <c r="F599" s="316">
        <v>8.0199999999999994E-2</v>
      </c>
      <c r="G599" s="207">
        <f t="shared" ref="G599:G605" si="114">K599/F599</f>
        <v>2956.6084788029925</v>
      </c>
      <c r="H599" s="187">
        <v>32</v>
      </c>
      <c r="I599" s="244"/>
      <c r="J599" s="244"/>
      <c r="K599" s="186">
        <f t="shared" si="113"/>
        <v>237.11999999999998</v>
      </c>
      <c r="L599" s="321" t="e">
        <f t="shared" ref="L599:L605" si="115">IF(N599="поставка Заказчика",N599,K599)</f>
        <v>#REF!</v>
      </c>
      <c r="M599" s="450"/>
      <c r="N599" s="131" t="e">
        <f>IF(ISNA(MATCH(C599,#REF!,0)),"",INDEX(#REF!,MATCH(C599,#REF!,0)))</f>
        <v>#REF!</v>
      </c>
      <c r="O599" s="114" t="e">
        <f>SUMIF(#REF!,C599,#REF!)</f>
        <v>#REF!</v>
      </c>
      <c r="P599" s="114" t="s">
        <v>39</v>
      </c>
    </row>
    <row r="600" spans="1:16" ht="26" x14ac:dyDescent="0.3">
      <c r="A600" s="50"/>
      <c r="B600" s="134"/>
      <c r="C600" s="201" t="s">
        <v>112</v>
      </c>
      <c r="D600" s="58" t="s">
        <v>1009</v>
      </c>
      <c r="E600" s="200" t="s">
        <v>977</v>
      </c>
      <c r="F600" s="316">
        <v>8.0199999999999994E-2</v>
      </c>
      <c r="G600" s="207">
        <f t="shared" si="114"/>
        <v>4250.1246882793021</v>
      </c>
      <c r="H600" s="187">
        <v>46</v>
      </c>
      <c r="I600" s="244"/>
      <c r="J600" s="244"/>
      <c r="K600" s="186">
        <f t="shared" si="113"/>
        <v>340.86</v>
      </c>
      <c r="L600" s="321" t="e">
        <f t="shared" si="115"/>
        <v>#REF!</v>
      </c>
      <c r="M600" s="450"/>
      <c r="N600" s="131" t="e">
        <f>IF(ISNA(MATCH(C600,#REF!,0)),"",INDEX(#REF!,MATCH(C600,#REF!,0)))</f>
        <v>#REF!</v>
      </c>
      <c r="O600" s="114" t="e">
        <f>SUMIF(#REF!,C600,#REF!)</f>
        <v>#REF!</v>
      </c>
      <c r="P600" s="114" t="s">
        <v>39</v>
      </c>
    </row>
    <row r="601" spans="1:16" x14ac:dyDescent="0.3">
      <c r="A601" s="50"/>
      <c r="B601" s="152"/>
      <c r="C601" s="201" t="s">
        <v>113</v>
      </c>
      <c r="D601" s="221" t="s">
        <v>719</v>
      </c>
      <c r="E601" s="230" t="s">
        <v>1176</v>
      </c>
      <c r="F601" s="316">
        <v>0.64200000000000002</v>
      </c>
      <c r="G601" s="207">
        <f t="shared" si="114"/>
        <v>13723.504672897192</v>
      </c>
      <c r="H601" s="191">
        <v>1189</v>
      </c>
      <c r="I601" s="346"/>
      <c r="J601" s="346"/>
      <c r="K601" s="186">
        <f t="shared" si="113"/>
        <v>8810.489999999998</v>
      </c>
      <c r="L601" s="321" t="e">
        <f t="shared" si="115"/>
        <v>#REF!</v>
      </c>
      <c r="M601" s="450"/>
      <c r="N601" s="131" t="e">
        <f>IF(ISNA(MATCH(C601,#REF!,0)),"",INDEX(#REF!,MATCH(C601,#REF!,0)))</f>
        <v>#REF!</v>
      </c>
      <c r="O601" s="114" t="e">
        <f>SUMIF(#REF!,C601,#REF!)</f>
        <v>#REF!</v>
      </c>
      <c r="P601" s="114" t="s">
        <v>39</v>
      </c>
    </row>
    <row r="602" spans="1:16" ht="26" x14ac:dyDescent="0.3">
      <c r="A602" s="50"/>
      <c r="B602" s="152"/>
      <c r="C602" s="268" t="s">
        <v>114</v>
      </c>
      <c r="D602" s="221" t="s">
        <v>1010</v>
      </c>
      <c r="E602" s="230" t="s">
        <v>977</v>
      </c>
      <c r="F602" s="316">
        <v>0.1236</v>
      </c>
      <c r="G602" s="207">
        <f t="shared" si="114"/>
        <v>86689.805825242714</v>
      </c>
      <c r="H602" s="191">
        <v>1446</v>
      </c>
      <c r="I602" s="346"/>
      <c r="J602" s="346"/>
      <c r="K602" s="186">
        <f t="shared" si="113"/>
        <v>10714.859999999999</v>
      </c>
      <c r="L602" s="321" t="e">
        <f t="shared" si="115"/>
        <v>#REF!</v>
      </c>
      <c r="M602" s="450"/>
      <c r="N602" s="131" t="e">
        <f>IF(ISNA(MATCH(C602,#REF!,0)),"",INDEX(#REF!,MATCH(C602,#REF!,0)))</f>
        <v>#REF!</v>
      </c>
      <c r="O602" s="114" t="e">
        <f>SUMIF(#REF!,C602,#REF!)</f>
        <v>#REF!</v>
      </c>
      <c r="P602" s="114" t="s">
        <v>39</v>
      </c>
    </row>
    <row r="603" spans="1:16" ht="26" x14ac:dyDescent="0.3">
      <c r="A603" s="50"/>
      <c r="B603" s="152"/>
      <c r="C603" s="268" t="s">
        <v>115</v>
      </c>
      <c r="D603" s="182" t="s">
        <v>849</v>
      </c>
      <c r="E603" s="183" t="s">
        <v>977</v>
      </c>
      <c r="F603" s="316">
        <v>0.1236</v>
      </c>
      <c r="G603" s="207">
        <f t="shared" si="114"/>
        <v>141725.24271844659</v>
      </c>
      <c r="H603" s="243">
        <v>2364</v>
      </c>
      <c r="I603" s="354"/>
      <c r="J603" s="354"/>
      <c r="K603" s="186">
        <f t="shared" si="113"/>
        <v>17517.239999999998</v>
      </c>
      <c r="L603" s="321" t="e">
        <f t="shared" si="115"/>
        <v>#REF!</v>
      </c>
      <c r="M603" s="450"/>
      <c r="N603" s="123" t="e">
        <f>IF(ISNA(MATCH(C603,#REF!,0)),"",INDEX(#REF!,MATCH(C603,#REF!,0)))</f>
        <v>#REF!</v>
      </c>
      <c r="O603" s="124" t="e">
        <f>SUMIF(#REF!,C603,#REF!)</f>
        <v>#REF!</v>
      </c>
      <c r="P603" s="124" t="s">
        <v>39</v>
      </c>
    </row>
    <row r="605" spans="1:16" ht="39" x14ac:dyDescent="0.3">
      <c r="A605" s="50"/>
      <c r="B605" s="134"/>
      <c r="C605" s="268" t="s">
        <v>116</v>
      </c>
      <c r="D605" s="182" t="s">
        <v>851</v>
      </c>
      <c r="E605" s="183" t="s">
        <v>977</v>
      </c>
      <c r="F605" s="316">
        <v>9.9599999999999994E-2</v>
      </c>
      <c r="G605" s="207">
        <f t="shared" si="114"/>
        <v>10490.060240963856</v>
      </c>
      <c r="H605" s="243">
        <v>141</v>
      </c>
      <c r="I605" s="354"/>
      <c r="J605" s="354"/>
      <c r="K605" s="186">
        <f t="shared" si="113"/>
        <v>1044.81</v>
      </c>
      <c r="L605" s="321" t="e">
        <f t="shared" si="115"/>
        <v>#REF!</v>
      </c>
      <c r="M605" s="450"/>
      <c r="N605" s="123" t="e">
        <f>IF(ISNA(MATCH(C605,#REF!,0)),"",INDEX(#REF!,MATCH(C605,#REF!,0)))</f>
        <v>#REF!</v>
      </c>
      <c r="O605" s="124" t="e">
        <f>SUMIF(#REF!,C605,#REF!)</f>
        <v>#REF!</v>
      </c>
      <c r="P605" s="124" t="s">
        <v>39</v>
      </c>
    </row>
    <row r="606" spans="1:16" ht="26" x14ac:dyDescent="0.3">
      <c r="A606" s="50"/>
      <c r="B606" s="128" t="s">
        <v>1011</v>
      </c>
      <c r="C606" s="213" t="s">
        <v>1669</v>
      </c>
      <c r="D606" s="60" t="s">
        <v>1012</v>
      </c>
      <c r="E606" s="214"/>
      <c r="F606" s="215"/>
      <c r="G606" s="211"/>
      <c r="H606" s="304">
        <f>SUM(H607:H614)</f>
        <v>68516</v>
      </c>
      <c r="I606" s="347"/>
      <c r="J606" s="347"/>
      <c r="K606" s="205">
        <f>SUM(K607:K614)</f>
        <v>507703.56</v>
      </c>
      <c r="L606" s="205" t="e">
        <f>SUM(L607:L614)</f>
        <v>#REF!</v>
      </c>
      <c r="M606" s="450" t="s">
        <v>1164</v>
      </c>
      <c r="N606" s="136" t="e">
        <f>IF(ISNA(MATCH(C606,#REF!,0)),"",INDEX(#REF!,MATCH(C606,#REF!,0)))</f>
        <v>#REF!</v>
      </c>
      <c r="O606" s="137" t="e">
        <f>SUMIF(#REF!,C606,#REF!)</f>
        <v>#REF!</v>
      </c>
      <c r="P606" s="130" t="s">
        <v>40</v>
      </c>
    </row>
    <row r="607" spans="1:16" s="30" customFormat="1" ht="13.5" x14ac:dyDescent="0.3">
      <c r="A607" s="50"/>
      <c r="B607" s="132"/>
      <c r="C607" s="201"/>
      <c r="D607" s="58" t="s">
        <v>1013</v>
      </c>
      <c r="E607" s="269"/>
      <c r="F607" s="270"/>
      <c r="G607" s="264"/>
      <c r="H607" s="311"/>
      <c r="I607" s="361"/>
      <c r="J607" s="361"/>
      <c r="K607" s="271"/>
      <c r="L607" s="271" t="e">
        <f>K607-O607</f>
        <v>#REF!</v>
      </c>
      <c r="M607" s="461"/>
      <c r="N607" s="159" t="e">
        <f>IF(ISNA(MATCH(C607,#REF!,0)),"",INDEX(#REF!,MATCH(C607,#REF!,0)))</f>
        <v>#REF!</v>
      </c>
      <c r="O607" s="160" t="e">
        <f>SUMIF(#REF!,C607,#REF!)</f>
        <v>#REF!</v>
      </c>
      <c r="P607" s="160" t="s">
        <v>40</v>
      </c>
    </row>
    <row r="608" spans="1:16" ht="26" x14ac:dyDescent="0.3">
      <c r="A608" s="50"/>
      <c r="B608" s="134"/>
      <c r="C608" s="201" t="s">
        <v>1670</v>
      </c>
      <c r="D608" s="182" t="s">
        <v>1014</v>
      </c>
      <c r="E608" s="259" t="s">
        <v>970</v>
      </c>
      <c r="F608" s="316">
        <v>2</v>
      </c>
      <c r="G608" s="207">
        <f>K608/F608</f>
        <v>42518.58</v>
      </c>
      <c r="H608" s="187">
        <v>11476</v>
      </c>
      <c r="I608" s="244"/>
      <c r="J608" s="244"/>
      <c r="K608" s="186">
        <f>H608*$C$4*$C$5</f>
        <v>85037.16</v>
      </c>
      <c r="L608" s="321" t="e">
        <f>IF(N608="поставка Заказчика",N608,K608)</f>
        <v>#REF!</v>
      </c>
      <c r="M608" s="450"/>
      <c r="N608" s="131" t="e">
        <f>IF(ISNA(MATCH(C608,#REF!,0)),"",INDEX(#REF!,MATCH(C608,#REF!,0)))</f>
        <v>#REF!</v>
      </c>
      <c r="O608" s="114" t="e">
        <f>SUMIF(#REF!,C608,#REF!)</f>
        <v>#REF!</v>
      </c>
      <c r="P608" s="114" t="s">
        <v>40</v>
      </c>
    </row>
    <row r="609" spans="1:16" x14ac:dyDescent="0.3">
      <c r="A609" s="50"/>
      <c r="B609" s="134"/>
      <c r="C609" s="201"/>
      <c r="D609" s="182" t="s">
        <v>1015</v>
      </c>
      <c r="E609" s="259"/>
      <c r="F609" s="316"/>
      <c r="G609" s="207"/>
      <c r="H609" s="187"/>
      <c r="I609" s="244"/>
      <c r="J609" s="244"/>
      <c r="K609" s="186"/>
      <c r="L609" s="186" t="e">
        <f>K609-O609</f>
        <v>#REF!</v>
      </c>
      <c r="M609" s="450"/>
      <c r="N609" s="131" t="e">
        <f>IF(ISNA(MATCH(C609,#REF!,0)),"",INDEX(#REF!,MATCH(C609,#REF!,0)))</f>
        <v>#REF!</v>
      </c>
      <c r="O609" s="114" t="e">
        <f>SUMIF(#REF!,C609,#REF!)</f>
        <v>#REF!</v>
      </c>
      <c r="P609" s="114" t="s">
        <v>40</v>
      </c>
    </row>
    <row r="610" spans="1:16" ht="26" x14ac:dyDescent="0.3">
      <c r="A610" s="50"/>
      <c r="B610" s="134"/>
      <c r="C610" s="201" t="s">
        <v>1671</v>
      </c>
      <c r="D610" s="182" t="s">
        <v>1016</v>
      </c>
      <c r="E610" s="259" t="s">
        <v>1179</v>
      </c>
      <c r="F610" s="316">
        <v>9.5000000000000001E-2</v>
      </c>
      <c r="G610" s="207">
        <f>K610/F610</f>
        <v>1720991.9999999998</v>
      </c>
      <c r="H610" s="187">
        <f>22065-1</f>
        <v>22064</v>
      </c>
      <c r="I610" s="244"/>
      <c r="J610" s="244"/>
      <c r="K610" s="186">
        <f>H610*$C$4*$C$5</f>
        <v>163494.24</v>
      </c>
      <c r="L610" s="321" t="e">
        <f>IF(N610="поставка Заказчика",N610,K610)</f>
        <v>#REF!</v>
      </c>
      <c r="M610" s="450"/>
      <c r="N610" s="131" t="e">
        <f>IF(ISNA(MATCH(C610,#REF!,0)),"",INDEX(#REF!,MATCH(C610,#REF!,0)))</f>
        <v>#REF!</v>
      </c>
      <c r="O610" s="114" t="e">
        <f>SUMIF(#REF!,C610,#REF!)</f>
        <v>#REF!</v>
      </c>
      <c r="P610" s="114" t="s">
        <v>40</v>
      </c>
    </row>
    <row r="611" spans="1:16" ht="26" x14ac:dyDescent="0.3">
      <c r="A611" s="50"/>
      <c r="B611" s="134"/>
      <c r="C611" s="201" t="s">
        <v>1672</v>
      </c>
      <c r="D611" s="182" t="s">
        <v>714</v>
      </c>
      <c r="E611" s="259" t="s">
        <v>969</v>
      </c>
      <c r="F611" s="316">
        <v>6.4000000000000001E-2</v>
      </c>
      <c r="G611" s="207">
        <f>K611/F611</f>
        <v>313767.18749999994</v>
      </c>
      <c r="H611" s="187">
        <v>2710</v>
      </c>
      <c r="I611" s="244"/>
      <c r="J611" s="244"/>
      <c r="K611" s="186">
        <f>H611*$C$4*$C$5</f>
        <v>20081.099999999999</v>
      </c>
      <c r="L611" s="321" t="e">
        <f>IF(N611="поставка Заказчика",N611,K611)</f>
        <v>#REF!</v>
      </c>
      <c r="M611" s="450"/>
      <c r="N611" s="131" t="e">
        <f>IF(ISNA(MATCH(C611,#REF!,0)),"",INDEX(#REF!,MATCH(C611,#REF!,0)))</f>
        <v>#REF!</v>
      </c>
      <c r="O611" s="114" t="e">
        <f>SUMIF(#REF!,C611,#REF!)</f>
        <v>#REF!</v>
      </c>
      <c r="P611" s="114" t="s">
        <v>40</v>
      </c>
    </row>
    <row r="612" spans="1:16" x14ac:dyDescent="0.3">
      <c r="A612" s="50"/>
      <c r="B612" s="134"/>
      <c r="C612" s="201"/>
      <c r="D612" s="182" t="s">
        <v>1007</v>
      </c>
      <c r="E612" s="259"/>
      <c r="F612" s="316"/>
      <c r="G612" s="207"/>
      <c r="H612" s="187"/>
      <c r="I612" s="244"/>
      <c r="J612" s="244"/>
      <c r="K612" s="186"/>
      <c r="L612" s="186" t="e">
        <f>K612-O612</f>
        <v>#REF!</v>
      </c>
      <c r="M612" s="450"/>
      <c r="N612" s="131" t="e">
        <f>IF(ISNA(MATCH(C612,#REF!,0)),"",INDEX(#REF!,MATCH(C612,#REF!,0)))</f>
        <v>#REF!</v>
      </c>
      <c r="O612" s="114" t="e">
        <f>SUMIF(#REF!,C612,#REF!)</f>
        <v>#REF!</v>
      </c>
      <c r="P612" s="114" t="s">
        <v>40</v>
      </c>
    </row>
    <row r="613" spans="1:16" ht="52" x14ac:dyDescent="0.3">
      <c r="A613" s="50"/>
      <c r="B613" s="134"/>
      <c r="C613" s="201" t="s">
        <v>1673</v>
      </c>
      <c r="D613" s="182" t="s">
        <v>1017</v>
      </c>
      <c r="E613" s="259" t="s">
        <v>1179</v>
      </c>
      <c r="F613" s="316">
        <v>9.5000000000000001E-2</v>
      </c>
      <c r="G613" s="207">
        <f>K613/F613</f>
        <v>824303.99999999988</v>
      </c>
      <c r="H613" s="187">
        <v>10568</v>
      </c>
      <c r="I613" s="244"/>
      <c r="J613" s="244"/>
      <c r="K613" s="186">
        <f>H613*$C$4*$C$5</f>
        <v>78308.87999999999</v>
      </c>
      <c r="L613" s="321" t="e">
        <f>IF(N613="поставка Заказчика",N613,K613)</f>
        <v>#REF!</v>
      </c>
      <c r="M613" s="450"/>
      <c r="N613" s="131" t="e">
        <f>IF(ISNA(MATCH(C613,#REF!,0)),"",INDEX(#REF!,MATCH(C613,#REF!,0)))</f>
        <v>#REF!</v>
      </c>
      <c r="O613" s="114" t="e">
        <f>SUMIF(#REF!,C613,#REF!)</f>
        <v>#REF!</v>
      </c>
      <c r="P613" s="114" t="s">
        <v>40</v>
      </c>
    </row>
    <row r="614" spans="1:16" ht="26" x14ac:dyDescent="0.3">
      <c r="A614" s="50"/>
      <c r="B614" s="134"/>
      <c r="C614" s="201" t="s">
        <v>1674</v>
      </c>
      <c r="D614" s="182" t="s">
        <v>1018</v>
      </c>
      <c r="E614" s="259" t="s">
        <v>1176</v>
      </c>
      <c r="F614" s="316">
        <v>3.99</v>
      </c>
      <c r="G614" s="207">
        <f>K614/F614</f>
        <v>40296.28571428571</v>
      </c>
      <c r="H614" s="187">
        <v>21698</v>
      </c>
      <c r="I614" s="244"/>
      <c r="J614" s="244"/>
      <c r="K614" s="186">
        <f>H614*$C$4*$C$5</f>
        <v>160782.18</v>
      </c>
      <c r="L614" s="321" t="e">
        <f>IF(N614="поставка Заказчика",N614,K614)</f>
        <v>#REF!</v>
      </c>
      <c r="M614" s="450"/>
      <c r="N614" s="131" t="e">
        <f>IF(ISNA(MATCH(C614,#REF!,0)),"",INDEX(#REF!,MATCH(C614,#REF!,0)))</f>
        <v>#REF!</v>
      </c>
      <c r="O614" s="114" t="e">
        <f>SUMIF(#REF!,C614,#REF!)</f>
        <v>#REF!</v>
      </c>
      <c r="P614" s="114" t="s">
        <v>40</v>
      </c>
    </row>
    <row r="615" spans="1:16" ht="26" x14ac:dyDescent="0.3">
      <c r="A615" s="50"/>
      <c r="B615" s="128" t="s">
        <v>1019</v>
      </c>
      <c r="C615" s="213" t="s">
        <v>1675</v>
      </c>
      <c r="D615" s="60" t="s">
        <v>1020</v>
      </c>
      <c r="E615" s="214"/>
      <c r="F615" s="215"/>
      <c r="G615" s="211"/>
      <c r="H615" s="304">
        <f>SUM(H616:H617)</f>
        <v>12038</v>
      </c>
      <c r="I615" s="347"/>
      <c r="J615" s="347"/>
      <c r="K615" s="205">
        <f>SUM(K616:K617)</f>
        <v>89201.579999999987</v>
      </c>
      <c r="L615" s="205" t="e">
        <f>SUM(L616:L617)</f>
        <v>#REF!</v>
      </c>
      <c r="M615" s="450" t="s">
        <v>1164</v>
      </c>
      <c r="N615" s="136" t="e">
        <f>IF(ISNA(MATCH(C615,#REF!,0)),"",INDEX(#REF!,MATCH(C615,#REF!,0)))</f>
        <v>#REF!</v>
      </c>
      <c r="O615" s="137" t="e">
        <f>SUMIF(#REF!,C615,#REF!)</f>
        <v>#REF!</v>
      </c>
      <c r="P615" s="130" t="s">
        <v>41</v>
      </c>
    </row>
    <row r="616" spans="1:16" ht="26" x14ac:dyDescent="0.3">
      <c r="A616" s="50"/>
      <c r="B616" s="134"/>
      <c r="C616" s="201" t="s">
        <v>1676</v>
      </c>
      <c r="D616" s="182" t="s">
        <v>1022</v>
      </c>
      <c r="E616" s="259" t="s">
        <v>948</v>
      </c>
      <c r="F616" s="316">
        <v>2.9100000000000001E-2</v>
      </c>
      <c r="G616" s="207">
        <f>K616/F616</f>
        <v>868828.86597938137</v>
      </c>
      <c r="H616" s="243">
        <f>61+7+3142+118+84</f>
        <v>3412</v>
      </c>
      <c r="I616" s="354"/>
      <c r="J616" s="354"/>
      <c r="K616" s="186">
        <f>H616*$C$4*$C$5</f>
        <v>25282.92</v>
      </c>
      <c r="L616" s="321" t="e">
        <f>IF(N616="поставка Заказчика",N616,K616)</f>
        <v>#REF!</v>
      </c>
      <c r="M616" s="450"/>
      <c r="N616" s="131" t="e">
        <f>IF(ISNA(MATCH(C616,#REF!,0)),"",INDEX(#REF!,MATCH(C616,#REF!,0)))</f>
        <v>#REF!</v>
      </c>
      <c r="O616" s="114" t="e">
        <f>SUMIF(#REF!,C616,#REF!)</f>
        <v>#REF!</v>
      </c>
      <c r="P616" s="114" t="s">
        <v>41</v>
      </c>
    </row>
    <row r="617" spans="1:16" ht="39" x14ac:dyDescent="0.3">
      <c r="A617" s="50"/>
      <c r="B617" s="134"/>
      <c r="C617" s="201" t="s">
        <v>1677</v>
      </c>
      <c r="D617" s="182" t="s">
        <v>1021</v>
      </c>
      <c r="E617" s="259" t="s">
        <v>948</v>
      </c>
      <c r="F617" s="316">
        <v>2.41</v>
      </c>
      <c r="G617" s="207">
        <f>K617/F617</f>
        <v>26522.265560165972</v>
      </c>
      <c r="H617" s="272">
        <f>249+230+2442+115+48+82+5385+73+2</f>
        <v>8626</v>
      </c>
      <c r="I617" s="362"/>
      <c r="J617" s="362"/>
      <c r="K617" s="186">
        <f>H617*$C$4*$C$5</f>
        <v>63918.659999999996</v>
      </c>
      <c r="L617" s="321" t="e">
        <f>IF(N617="поставка Заказчика",N617,K617)</f>
        <v>#REF!</v>
      </c>
      <c r="M617" s="450"/>
      <c r="N617" s="131" t="e">
        <f>IF(ISNA(MATCH(C617,#REF!,0)),"",INDEX(#REF!,MATCH(C617,#REF!,0)))</f>
        <v>#REF!</v>
      </c>
      <c r="O617" s="114" t="e">
        <f>SUMIF(#REF!,C617,#REF!)</f>
        <v>#REF!</v>
      </c>
      <c r="P617" s="114" t="s">
        <v>41</v>
      </c>
    </row>
    <row r="618" spans="1:16" x14ac:dyDescent="0.3">
      <c r="A618" s="50"/>
      <c r="B618" s="128" t="s">
        <v>1023</v>
      </c>
      <c r="C618" s="213" t="s">
        <v>1678</v>
      </c>
      <c r="D618" s="60" t="s">
        <v>1024</v>
      </c>
      <c r="E618" s="214"/>
      <c r="F618" s="215"/>
      <c r="G618" s="211"/>
      <c r="H618" s="304">
        <f>H621</f>
        <v>340693</v>
      </c>
      <c r="I618" s="347"/>
      <c r="J618" s="347"/>
      <c r="K618" s="205">
        <f>K621</f>
        <v>2524535.13</v>
      </c>
      <c r="L618" s="205" t="e">
        <f>L621</f>
        <v>#REF!</v>
      </c>
      <c r="M618" s="450" t="s">
        <v>1164</v>
      </c>
      <c r="N618" s="136" t="e">
        <f>IF(ISNA(MATCH(C618,#REF!,0)),"",INDEX(#REF!,MATCH(C618,#REF!,0)))</f>
        <v>#REF!</v>
      </c>
      <c r="O618" s="137" t="e">
        <f>SUMIF(#REF!,C618,#REF!)</f>
        <v>#REF!</v>
      </c>
      <c r="P618" s="130" t="s">
        <v>42</v>
      </c>
    </row>
    <row r="619" spans="1:16" ht="13.5" x14ac:dyDescent="0.3">
      <c r="A619" s="50"/>
      <c r="B619" s="148"/>
      <c r="C619" s="262"/>
      <c r="D619" s="161" t="s">
        <v>1707</v>
      </c>
      <c r="E619" s="267"/>
      <c r="F619" s="263"/>
      <c r="G619" s="264"/>
      <c r="H619" s="310"/>
      <c r="I619" s="360"/>
      <c r="J619" s="360"/>
      <c r="K619" s="265"/>
      <c r="L619" s="265" t="e">
        <f>K619-O619</f>
        <v>#REF!</v>
      </c>
      <c r="M619" s="450"/>
      <c r="N619" s="157" t="e">
        <f>IF(ISNA(MATCH(C619,#REF!,0)),"",INDEX(#REF!,MATCH(C619,#REF!,0)))</f>
        <v>#REF!</v>
      </c>
      <c r="O619" s="158" t="e">
        <f>SUMIF(#REF!,C619,#REF!)</f>
        <v>#REF!</v>
      </c>
      <c r="P619" s="158" t="s">
        <v>42</v>
      </c>
    </row>
    <row r="620" spans="1:16" x14ac:dyDescent="0.3">
      <c r="A620" s="50"/>
      <c r="B620" s="591"/>
      <c r="C620" s="596" t="s">
        <v>576</v>
      </c>
      <c r="D620" s="163" t="s">
        <v>1025</v>
      </c>
      <c r="E620" s="275" t="s">
        <v>970</v>
      </c>
      <c r="F620" s="464">
        <v>1</v>
      </c>
      <c r="G620" s="240" t="str">
        <f>IF(ISERR(L620/F620),"",K620/F620)</f>
        <v/>
      </c>
      <c r="H620" s="249">
        <v>51561</v>
      </c>
      <c r="I620" s="358">
        <f>H620/1.0997</f>
        <v>46886.423570064566</v>
      </c>
      <c r="J620" s="358">
        <f>I620/F620</f>
        <v>46886.423570064566</v>
      </c>
      <c r="K620" s="322">
        <f>H620*$C$6</f>
        <v>173244.96</v>
      </c>
      <c r="L620" s="323" t="e">
        <f>IF(N620="Заказчика",N620,INDEX(#REF!,MATCH(C620,#REF!,0)))</f>
        <v>#REF!</v>
      </c>
      <c r="M620" s="450"/>
      <c r="N620" s="145" t="e">
        <f>IF(ISNA(MATCH(C620,#REF!,0)),"",INDEX(#REF!,MATCH(C620,#REF!,0)))</f>
        <v>#REF!</v>
      </c>
      <c r="O620" s="146" t="e">
        <f>SUMIF(#REF!,C620,#REF!)</f>
        <v>#REF!</v>
      </c>
      <c r="P620" s="146" t="s">
        <v>42</v>
      </c>
    </row>
    <row r="621" spans="1:16" x14ac:dyDescent="0.3">
      <c r="A621" s="50"/>
      <c r="B621" s="134"/>
      <c r="C621" s="216" t="s">
        <v>1679</v>
      </c>
      <c r="D621" s="232" t="s">
        <v>721</v>
      </c>
      <c r="E621" s="233"/>
      <c r="F621" s="234"/>
      <c r="G621" s="235"/>
      <c r="H621" s="301">
        <f>SUM(H622:H641)</f>
        <v>340693</v>
      </c>
      <c r="I621" s="343"/>
      <c r="J621" s="343"/>
      <c r="K621" s="236">
        <f>SUM(K622:K641)</f>
        <v>2524535.13</v>
      </c>
      <c r="L621" s="236" t="e">
        <f>SUM(L622:L641)</f>
        <v>#REF!</v>
      </c>
      <c r="M621" s="450"/>
      <c r="N621" s="126" t="e">
        <f>IF(ISNA(MATCH(C621,#REF!,0)),"",INDEX(#REF!,MATCH(C621,#REF!,0)))</f>
        <v>#REF!</v>
      </c>
      <c r="O621" s="127" t="e">
        <f>SUMIF(#REF!,C621,#REF!)</f>
        <v>#REF!</v>
      </c>
      <c r="P621" s="127" t="s">
        <v>42</v>
      </c>
    </row>
    <row r="622" spans="1:16" ht="39" x14ac:dyDescent="0.3">
      <c r="A622" s="50"/>
      <c r="B622" s="134"/>
      <c r="C622" s="201" t="s">
        <v>1680</v>
      </c>
      <c r="D622" s="182" t="s">
        <v>1026</v>
      </c>
      <c r="E622" s="259" t="s">
        <v>970</v>
      </c>
      <c r="F622" s="316">
        <v>1</v>
      </c>
      <c r="G622" s="207">
        <f t="shared" ref="G622:G641" si="116">K622/F622</f>
        <v>3460.47</v>
      </c>
      <c r="H622" s="243">
        <v>467</v>
      </c>
      <c r="I622" s="354"/>
      <c r="J622" s="354"/>
      <c r="K622" s="186">
        <f t="shared" ref="K622:K641" si="117">H622*$C$4*$C$5</f>
        <v>3460.47</v>
      </c>
      <c r="L622" s="321" t="e">
        <f t="shared" ref="L622:L641" si="118">IF(N622="поставка Заказчика",N622,K622)</f>
        <v>#REF!</v>
      </c>
      <c r="M622" s="450"/>
      <c r="N622" s="131" t="e">
        <f>IF(ISNA(MATCH(C622,#REF!,0)),"",INDEX(#REF!,MATCH(C622,#REF!,0)))</f>
        <v>#REF!</v>
      </c>
      <c r="O622" s="114" t="e">
        <f>SUMIF(#REF!,C622,#REF!)</f>
        <v>#REF!</v>
      </c>
      <c r="P622" s="114" t="s">
        <v>42</v>
      </c>
    </row>
    <row r="623" spans="1:16" ht="52" x14ac:dyDescent="0.3">
      <c r="A623" s="50"/>
      <c r="B623" s="134"/>
      <c r="C623" s="201" t="s">
        <v>1681</v>
      </c>
      <c r="D623" s="182" t="s">
        <v>1027</v>
      </c>
      <c r="E623" s="259" t="s">
        <v>970</v>
      </c>
      <c r="F623" s="316">
        <v>5</v>
      </c>
      <c r="G623" s="207">
        <f t="shared" si="116"/>
        <v>5224.0499999999993</v>
      </c>
      <c r="H623" s="243">
        <f>(721+2804)</f>
        <v>3525</v>
      </c>
      <c r="I623" s="354"/>
      <c r="J623" s="354"/>
      <c r="K623" s="186">
        <f t="shared" si="117"/>
        <v>26120.249999999996</v>
      </c>
      <c r="L623" s="321" t="e">
        <f t="shared" si="118"/>
        <v>#REF!</v>
      </c>
      <c r="M623" s="450"/>
      <c r="N623" s="131" t="e">
        <f>IF(ISNA(MATCH(C623,#REF!,0)),"",INDEX(#REF!,MATCH(C623,#REF!,0)))</f>
        <v>#REF!</v>
      </c>
      <c r="O623" s="114" t="e">
        <f>SUMIF(#REF!,C623,#REF!)</f>
        <v>#REF!</v>
      </c>
      <c r="P623" s="114" t="s">
        <v>42</v>
      </c>
    </row>
    <row r="624" spans="1:16" ht="52" x14ac:dyDescent="0.3">
      <c r="A624" s="50"/>
      <c r="B624" s="134"/>
      <c r="C624" s="201" t="s">
        <v>1682</v>
      </c>
      <c r="D624" s="182" t="s">
        <v>122</v>
      </c>
      <c r="E624" s="259" t="s">
        <v>970</v>
      </c>
      <c r="F624" s="316">
        <v>2</v>
      </c>
      <c r="G624" s="207">
        <f t="shared" si="116"/>
        <v>4549.74</v>
      </c>
      <c r="H624" s="243">
        <f>487+741</f>
        <v>1228</v>
      </c>
      <c r="I624" s="354"/>
      <c r="J624" s="354"/>
      <c r="K624" s="186">
        <f t="shared" si="117"/>
        <v>9099.48</v>
      </c>
      <c r="L624" s="321" t="e">
        <f t="shared" si="118"/>
        <v>#REF!</v>
      </c>
      <c r="M624" s="450"/>
      <c r="N624" s="131" t="e">
        <f>IF(ISNA(MATCH(C624,#REF!,0)),"",INDEX(#REF!,MATCH(C624,#REF!,0)))</f>
        <v>#REF!</v>
      </c>
      <c r="O624" s="114" t="e">
        <f>SUMIF(#REF!,C624,#REF!)</f>
        <v>#REF!</v>
      </c>
      <c r="P624" s="114" t="s">
        <v>42</v>
      </c>
    </row>
    <row r="625" spans="1:16" ht="52" x14ac:dyDescent="0.3">
      <c r="A625" s="50"/>
      <c r="B625" s="134"/>
      <c r="C625" s="201" t="s">
        <v>1683</v>
      </c>
      <c r="D625" s="182" t="s">
        <v>123</v>
      </c>
      <c r="E625" s="259" t="s">
        <v>970</v>
      </c>
      <c r="F625" s="316">
        <v>16</v>
      </c>
      <c r="G625" s="207">
        <f t="shared" si="116"/>
        <v>5064.2718749999995</v>
      </c>
      <c r="H625" s="243">
        <f>1871+3399/6*16</f>
        <v>10935</v>
      </c>
      <c r="I625" s="354"/>
      <c r="J625" s="354"/>
      <c r="K625" s="186">
        <f t="shared" si="117"/>
        <v>81028.349999999991</v>
      </c>
      <c r="L625" s="321" t="e">
        <f t="shared" si="118"/>
        <v>#REF!</v>
      </c>
      <c r="M625" s="450"/>
      <c r="N625" s="131" t="e">
        <f>IF(ISNA(MATCH(C625,#REF!,0)),"",INDEX(#REF!,MATCH(C625,#REF!,0)))</f>
        <v>#REF!</v>
      </c>
      <c r="O625" s="114" t="e">
        <f>SUMIF(#REF!,C625,#REF!)</f>
        <v>#REF!</v>
      </c>
      <c r="P625" s="114" t="s">
        <v>42</v>
      </c>
    </row>
    <row r="626" spans="1:16" ht="52" x14ac:dyDescent="0.3">
      <c r="A626" s="50"/>
      <c r="B626" s="134"/>
      <c r="C626" s="201" t="s">
        <v>1684</v>
      </c>
      <c r="D626" s="182" t="s">
        <v>1028</v>
      </c>
      <c r="E626" s="259" t="s">
        <v>970</v>
      </c>
      <c r="F626" s="316">
        <v>8</v>
      </c>
      <c r="G626" s="207">
        <f t="shared" si="116"/>
        <v>5426.8987499999994</v>
      </c>
      <c r="H626" s="243">
        <f>1143+1179/2*8</f>
        <v>5859</v>
      </c>
      <c r="I626" s="354"/>
      <c r="J626" s="354"/>
      <c r="K626" s="186">
        <f t="shared" si="117"/>
        <v>43415.189999999995</v>
      </c>
      <c r="L626" s="321" t="e">
        <f t="shared" si="118"/>
        <v>#REF!</v>
      </c>
      <c r="M626" s="450"/>
      <c r="N626" s="131" t="e">
        <f>IF(ISNA(MATCH(C626,#REF!,0)),"",INDEX(#REF!,MATCH(C626,#REF!,0)))</f>
        <v>#REF!</v>
      </c>
      <c r="O626" s="114" t="e">
        <f>SUMIF(#REF!,C626,#REF!)</f>
        <v>#REF!</v>
      </c>
      <c r="P626" s="114" t="s">
        <v>42</v>
      </c>
    </row>
    <row r="627" spans="1:16" ht="39" x14ac:dyDescent="0.3">
      <c r="A627" s="50"/>
      <c r="B627" s="134"/>
      <c r="C627" s="201" t="s">
        <v>1685</v>
      </c>
      <c r="D627" s="182" t="s">
        <v>1029</v>
      </c>
      <c r="E627" s="259" t="s">
        <v>971</v>
      </c>
      <c r="F627" s="316">
        <v>1350</v>
      </c>
      <c r="G627" s="207">
        <f t="shared" si="116"/>
        <v>1438.7036444444443</v>
      </c>
      <c r="H627" s="243">
        <f>35641+226471</f>
        <v>262112</v>
      </c>
      <c r="I627" s="354"/>
      <c r="J627" s="354"/>
      <c r="K627" s="186">
        <f t="shared" si="117"/>
        <v>1942249.92</v>
      </c>
      <c r="L627" s="321" t="e">
        <f t="shared" si="118"/>
        <v>#REF!</v>
      </c>
      <c r="M627" s="450"/>
      <c r="N627" s="131" t="e">
        <f>IF(ISNA(MATCH(C627,#REF!,0)),"",INDEX(#REF!,MATCH(C627,#REF!,0)))</f>
        <v>#REF!</v>
      </c>
      <c r="O627" s="114" t="e">
        <f>SUMIF(#REF!,C627,#REF!)</f>
        <v>#REF!</v>
      </c>
      <c r="P627" s="114" t="s">
        <v>42</v>
      </c>
    </row>
    <row r="628" spans="1:16" x14ac:dyDescent="0.3">
      <c r="A628" s="50"/>
      <c r="B628" s="134"/>
      <c r="C628" s="201" t="s">
        <v>1686</v>
      </c>
      <c r="D628" s="182" t="s">
        <v>1030</v>
      </c>
      <c r="E628" s="259" t="s">
        <v>970</v>
      </c>
      <c r="F628" s="316">
        <v>100</v>
      </c>
      <c r="G628" s="207">
        <f t="shared" si="116"/>
        <v>343.08299999999997</v>
      </c>
      <c r="H628" s="187">
        <v>4630</v>
      </c>
      <c r="I628" s="244"/>
      <c r="J628" s="244"/>
      <c r="K628" s="186">
        <f t="shared" si="117"/>
        <v>34308.299999999996</v>
      </c>
      <c r="L628" s="321" t="e">
        <f t="shared" si="118"/>
        <v>#REF!</v>
      </c>
      <c r="M628" s="450"/>
      <c r="N628" s="131" t="e">
        <f>IF(ISNA(MATCH(C628,#REF!,0)),"",INDEX(#REF!,MATCH(C628,#REF!,0)))</f>
        <v>#REF!</v>
      </c>
      <c r="O628" s="114" t="e">
        <f>SUMIF(#REF!,C628,#REF!)</f>
        <v>#REF!</v>
      </c>
      <c r="P628" s="114" t="s">
        <v>42</v>
      </c>
    </row>
    <row r="629" spans="1:16" x14ac:dyDescent="0.3">
      <c r="A629" s="50"/>
      <c r="B629" s="134"/>
      <c r="C629" s="201" t="s">
        <v>1687</v>
      </c>
      <c r="D629" s="182" t="s">
        <v>1031</v>
      </c>
      <c r="E629" s="259" t="s">
        <v>970</v>
      </c>
      <c r="F629" s="316">
        <v>46</v>
      </c>
      <c r="G629" s="207">
        <f t="shared" si="116"/>
        <v>322.33499999999998</v>
      </c>
      <c r="H629" s="243">
        <v>2001</v>
      </c>
      <c r="I629" s="354"/>
      <c r="J629" s="354"/>
      <c r="K629" s="186">
        <f t="shared" si="117"/>
        <v>14827.41</v>
      </c>
      <c r="L629" s="321" t="e">
        <f t="shared" si="118"/>
        <v>#REF!</v>
      </c>
      <c r="M629" s="450"/>
      <c r="N629" s="131" t="e">
        <f>IF(ISNA(MATCH(C629,#REF!,0)),"",INDEX(#REF!,MATCH(C629,#REF!,0)))</f>
        <v>#REF!</v>
      </c>
      <c r="O629" s="114" t="e">
        <f>SUMIF(#REF!,C629,#REF!)</f>
        <v>#REF!</v>
      </c>
      <c r="P629" s="114" t="s">
        <v>42</v>
      </c>
    </row>
    <row r="630" spans="1:16" ht="39" x14ac:dyDescent="0.3">
      <c r="A630" s="50"/>
      <c r="B630" s="134"/>
      <c r="C630" s="201" t="s">
        <v>1688</v>
      </c>
      <c r="D630" s="182" t="s">
        <v>1032</v>
      </c>
      <c r="E630" s="259" t="s">
        <v>948</v>
      </c>
      <c r="F630" s="316">
        <f>1.814+0.4753</f>
        <v>2.2892999999999999</v>
      </c>
      <c r="G630" s="207">
        <f t="shared" si="116"/>
        <v>17566.098807495742</v>
      </c>
      <c r="H630" s="243">
        <f>4431+996</f>
        <v>5427</v>
      </c>
      <c r="I630" s="354"/>
      <c r="J630" s="354"/>
      <c r="K630" s="186">
        <f t="shared" si="117"/>
        <v>40214.07</v>
      </c>
      <c r="L630" s="321" t="e">
        <f t="shared" si="118"/>
        <v>#REF!</v>
      </c>
      <c r="M630" s="450"/>
      <c r="N630" s="131" t="e">
        <f>IF(ISNA(MATCH(C630,#REF!,0)),"",INDEX(#REF!,MATCH(C630,#REF!,0)))</f>
        <v>#REF!</v>
      </c>
      <c r="O630" s="114" t="e">
        <f>SUMIF(#REF!,C630,#REF!)</f>
        <v>#REF!</v>
      </c>
      <c r="P630" s="114" t="s">
        <v>42</v>
      </c>
    </row>
    <row r="631" spans="1:16" ht="39" x14ac:dyDescent="0.3">
      <c r="A631" s="50"/>
      <c r="B631" s="134"/>
      <c r="C631" s="201" t="s">
        <v>1689</v>
      </c>
      <c r="D631" s="182" t="s">
        <v>1033</v>
      </c>
      <c r="E631" s="259" t="s">
        <v>948</v>
      </c>
      <c r="F631" s="316">
        <f>2.44+1.87+0.0294+4.363+0.0686</f>
        <v>8.7710000000000008</v>
      </c>
      <c r="G631" s="207">
        <f t="shared" si="116"/>
        <v>8899.4345000570047</v>
      </c>
      <c r="H631" s="243">
        <f>2524+1742+45+6080+143</f>
        <v>10534</v>
      </c>
      <c r="I631" s="354"/>
      <c r="J631" s="354"/>
      <c r="K631" s="186">
        <f t="shared" si="117"/>
        <v>78056.939999999988</v>
      </c>
      <c r="L631" s="321" t="e">
        <f t="shared" si="118"/>
        <v>#REF!</v>
      </c>
      <c r="M631" s="450"/>
      <c r="N631" s="131" t="e">
        <f>IF(ISNA(MATCH(C631,#REF!,0)),"",INDEX(#REF!,MATCH(C631,#REF!,0)))</f>
        <v>#REF!</v>
      </c>
      <c r="O631" s="114" t="e">
        <f>SUMIF(#REF!,C631,#REF!)</f>
        <v>#REF!</v>
      </c>
      <c r="P631" s="114" t="s">
        <v>42</v>
      </c>
    </row>
    <row r="632" spans="1:16" ht="26" x14ac:dyDescent="0.3">
      <c r="A632" s="50"/>
      <c r="B632" s="134"/>
      <c r="C632" s="201" t="s">
        <v>1690</v>
      </c>
      <c r="D632" s="182" t="s">
        <v>1034</v>
      </c>
      <c r="E632" s="259" t="s">
        <v>970</v>
      </c>
      <c r="F632" s="316">
        <f>84+2</f>
        <v>86</v>
      </c>
      <c r="G632" s="207">
        <f t="shared" si="116"/>
        <v>323.45511627906973</v>
      </c>
      <c r="H632" s="243">
        <f>3654+100</f>
        <v>3754</v>
      </c>
      <c r="I632" s="354"/>
      <c r="J632" s="354"/>
      <c r="K632" s="186">
        <f t="shared" si="117"/>
        <v>27817.139999999996</v>
      </c>
      <c r="L632" s="321" t="e">
        <f t="shared" si="118"/>
        <v>#REF!</v>
      </c>
      <c r="M632" s="450"/>
      <c r="N632" s="131" t="e">
        <f>IF(ISNA(MATCH(C632,#REF!,0)),"",INDEX(#REF!,MATCH(C632,#REF!,0)))</f>
        <v>#REF!</v>
      </c>
      <c r="O632" s="114" t="e">
        <f>SUMIF(#REF!,C632,#REF!)</f>
        <v>#REF!</v>
      </c>
      <c r="P632" s="114" t="s">
        <v>42</v>
      </c>
    </row>
    <row r="633" spans="1:16" x14ac:dyDescent="0.3">
      <c r="A633" s="50"/>
      <c r="B633" s="134"/>
      <c r="C633" s="201" t="s">
        <v>1691</v>
      </c>
      <c r="D633" s="182" t="s">
        <v>1035</v>
      </c>
      <c r="E633" s="259" t="s">
        <v>1036</v>
      </c>
      <c r="F633" s="316">
        <v>1</v>
      </c>
      <c r="G633" s="207">
        <f t="shared" si="116"/>
        <v>118159.85999999999</v>
      </c>
      <c r="H633" s="243">
        <f>413+6793+235+2817+2266+3422</f>
        <v>15946</v>
      </c>
      <c r="I633" s="354"/>
      <c r="J633" s="354"/>
      <c r="K633" s="186">
        <f t="shared" si="117"/>
        <v>118159.85999999999</v>
      </c>
      <c r="L633" s="321" t="e">
        <f t="shared" si="118"/>
        <v>#REF!</v>
      </c>
      <c r="M633" s="450"/>
      <c r="N633" s="131" t="e">
        <f>IF(ISNA(MATCH(C633,#REF!,0)),"",INDEX(#REF!,MATCH(C633,#REF!,0)))</f>
        <v>#REF!</v>
      </c>
      <c r="O633" s="114" t="e">
        <f>SUMIF(#REF!,C633,#REF!)</f>
        <v>#REF!</v>
      </c>
      <c r="P633" s="114" t="s">
        <v>42</v>
      </c>
    </row>
    <row r="634" spans="1:16" ht="26" x14ac:dyDescent="0.3">
      <c r="A634" s="50"/>
      <c r="B634" s="134"/>
      <c r="C634" s="201" t="s">
        <v>1692</v>
      </c>
      <c r="D634" s="58" t="s">
        <v>1037</v>
      </c>
      <c r="E634" s="200" t="s">
        <v>971</v>
      </c>
      <c r="F634" s="316">
        <v>275</v>
      </c>
      <c r="G634" s="207">
        <f t="shared" si="116"/>
        <v>36.591927272727268</v>
      </c>
      <c r="H634" s="243">
        <v>1358</v>
      </c>
      <c r="I634" s="354"/>
      <c r="J634" s="354"/>
      <c r="K634" s="186">
        <f t="shared" si="117"/>
        <v>10062.779999999999</v>
      </c>
      <c r="L634" s="321" t="e">
        <f t="shared" si="118"/>
        <v>#REF!</v>
      </c>
      <c r="M634" s="450"/>
      <c r="N634" s="131" t="e">
        <f>IF(ISNA(MATCH(C634,#REF!,0)),"",INDEX(#REF!,MATCH(C634,#REF!,0)))</f>
        <v>#REF!</v>
      </c>
      <c r="O634" s="114" t="e">
        <f>SUMIF(#REF!,C634,#REF!)</f>
        <v>#REF!</v>
      </c>
      <c r="P634" s="114" t="s">
        <v>42</v>
      </c>
    </row>
    <row r="635" spans="1:16" ht="26" x14ac:dyDescent="0.3">
      <c r="A635" s="50"/>
      <c r="B635" s="134"/>
      <c r="C635" s="201" t="s">
        <v>1693</v>
      </c>
      <c r="D635" s="58" t="s">
        <v>1038</v>
      </c>
      <c r="E635" s="200" t="s">
        <v>971</v>
      </c>
      <c r="F635" s="316">
        <v>160</v>
      </c>
      <c r="G635" s="207">
        <f t="shared" si="116"/>
        <v>59.604187499999988</v>
      </c>
      <c r="H635" s="191">
        <v>1287</v>
      </c>
      <c r="I635" s="346"/>
      <c r="J635" s="346"/>
      <c r="K635" s="186">
        <f t="shared" si="117"/>
        <v>9536.6699999999983</v>
      </c>
      <c r="L635" s="321" t="e">
        <f t="shared" si="118"/>
        <v>#REF!</v>
      </c>
      <c r="M635" s="450"/>
      <c r="N635" s="131" t="e">
        <f>IF(ISNA(MATCH(C635,#REF!,0)),"",INDEX(#REF!,MATCH(C635,#REF!,0)))</f>
        <v>#REF!</v>
      </c>
      <c r="O635" s="114" t="e">
        <f>SUMIF(#REF!,C635,#REF!)</f>
        <v>#REF!</v>
      </c>
      <c r="P635" s="114" t="s">
        <v>42</v>
      </c>
    </row>
    <row r="636" spans="1:16" ht="26" x14ac:dyDescent="0.3">
      <c r="A636" s="50"/>
      <c r="B636" s="134"/>
      <c r="C636" s="201" t="s">
        <v>1694</v>
      </c>
      <c r="D636" s="58" t="s">
        <v>1039</v>
      </c>
      <c r="E636" s="200" t="s">
        <v>971</v>
      </c>
      <c r="F636" s="316">
        <v>10</v>
      </c>
      <c r="G636" s="207">
        <f t="shared" si="116"/>
        <v>1190.0459999999998</v>
      </c>
      <c r="H636" s="191">
        <v>1606</v>
      </c>
      <c r="I636" s="346"/>
      <c r="J636" s="346"/>
      <c r="K636" s="186">
        <f t="shared" si="117"/>
        <v>11900.46</v>
      </c>
      <c r="L636" s="321" t="e">
        <f t="shared" si="118"/>
        <v>#REF!</v>
      </c>
      <c r="M636" s="450"/>
      <c r="N636" s="131" t="e">
        <f>IF(ISNA(MATCH(C636,#REF!,0)),"",INDEX(#REF!,MATCH(C636,#REF!,0)))</f>
        <v>#REF!</v>
      </c>
      <c r="O636" s="114" t="e">
        <f>SUMIF(#REF!,C636,#REF!)</f>
        <v>#REF!</v>
      </c>
      <c r="P636" s="114" t="s">
        <v>42</v>
      </c>
    </row>
    <row r="637" spans="1:16" ht="26" x14ac:dyDescent="0.3">
      <c r="A637" s="50"/>
      <c r="B637" s="134"/>
      <c r="C637" s="201" t="s">
        <v>1695</v>
      </c>
      <c r="D637" s="58" t="s">
        <v>120</v>
      </c>
      <c r="E637" s="200" t="s">
        <v>971</v>
      </c>
      <c r="F637" s="316">
        <v>80</v>
      </c>
      <c r="G637" s="207">
        <f t="shared" si="116"/>
        <v>49.554375</v>
      </c>
      <c r="H637" s="243">
        <v>535</v>
      </c>
      <c r="I637" s="354"/>
      <c r="J637" s="354"/>
      <c r="K637" s="186">
        <f t="shared" si="117"/>
        <v>3964.35</v>
      </c>
      <c r="L637" s="321" t="e">
        <f t="shared" si="118"/>
        <v>#REF!</v>
      </c>
      <c r="M637" s="450"/>
      <c r="N637" s="131" t="e">
        <f>IF(ISNA(MATCH(C637,#REF!,0)),"",INDEX(#REF!,MATCH(C637,#REF!,0)))</f>
        <v>#REF!</v>
      </c>
      <c r="O637" s="114" t="e">
        <f>SUMIF(#REF!,C637,#REF!)</f>
        <v>#REF!</v>
      </c>
      <c r="P637" s="114" t="s">
        <v>42</v>
      </c>
    </row>
    <row r="638" spans="1:16" ht="26" x14ac:dyDescent="0.3">
      <c r="A638" s="50"/>
      <c r="B638" s="134"/>
      <c r="C638" s="201" t="s">
        <v>1696</v>
      </c>
      <c r="D638" s="58" t="s">
        <v>121</v>
      </c>
      <c r="E638" s="200" t="s">
        <v>971</v>
      </c>
      <c r="F638" s="316">
        <v>65</v>
      </c>
      <c r="G638" s="207">
        <f t="shared" si="116"/>
        <v>62.814</v>
      </c>
      <c r="H638" s="243">
        <v>551</v>
      </c>
      <c r="I638" s="354"/>
      <c r="J638" s="354"/>
      <c r="K638" s="186">
        <f t="shared" si="117"/>
        <v>4082.91</v>
      </c>
      <c r="L638" s="321" t="e">
        <f t="shared" si="118"/>
        <v>#REF!</v>
      </c>
      <c r="M638" s="450"/>
      <c r="N638" s="131" t="e">
        <f>IF(ISNA(MATCH(C638,#REF!,0)),"",INDEX(#REF!,MATCH(C638,#REF!,0)))</f>
        <v>#REF!</v>
      </c>
      <c r="O638" s="114" t="e">
        <f>SUMIF(#REF!,C638,#REF!)</f>
        <v>#REF!</v>
      </c>
      <c r="P638" s="114" t="s">
        <v>42</v>
      </c>
    </row>
    <row r="639" spans="1:16" ht="26" x14ac:dyDescent="0.3">
      <c r="A639" s="50"/>
      <c r="B639" s="134"/>
      <c r="C639" s="201" t="s">
        <v>1697</v>
      </c>
      <c r="D639" s="58" t="s">
        <v>124</v>
      </c>
      <c r="E639" s="200" t="s">
        <v>971</v>
      </c>
      <c r="F639" s="316">
        <v>10</v>
      </c>
      <c r="G639" s="207">
        <f t="shared" si="116"/>
        <v>78.545999999999992</v>
      </c>
      <c r="H639" s="243">
        <v>106</v>
      </c>
      <c r="I639" s="354"/>
      <c r="J639" s="354"/>
      <c r="K639" s="186">
        <f t="shared" si="117"/>
        <v>785.45999999999992</v>
      </c>
      <c r="L639" s="321" t="e">
        <f t="shared" si="118"/>
        <v>#REF!</v>
      </c>
      <c r="M639" s="450"/>
      <c r="N639" s="131" t="e">
        <f>IF(ISNA(MATCH(C639,#REF!,0)),"",INDEX(#REF!,MATCH(C639,#REF!,0)))</f>
        <v>#REF!</v>
      </c>
      <c r="O639" s="114" t="e">
        <f>SUMIF(#REF!,C639,#REF!)</f>
        <v>#REF!</v>
      </c>
      <c r="P639" s="114" t="s">
        <v>42</v>
      </c>
    </row>
    <row r="640" spans="1:16" ht="26" x14ac:dyDescent="0.3">
      <c r="A640" s="50"/>
      <c r="B640" s="134"/>
      <c r="C640" s="201" t="s">
        <v>1698</v>
      </c>
      <c r="D640" s="58" t="s">
        <v>125</v>
      </c>
      <c r="E640" s="200" t="s">
        <v>971</v>
      </c>
      <c r="F640" s="316">
        <v>295</v>
      </c>
      <c r="G640" s="207">
        <f t="shared" si="116"/>
        <v>124.08610169491523</v>
      </c>
      <c r="H640" s="243">
        <v>4940</v>
      </c>
      <c r="I640" s="354"/>
      <c r="J640" s="354"/>
      <c r="K640" s="186">
        <f t="shared" si="117"/>
        <v>36605.399999999994</v>
      </c>
      <c r="L640" s="321" t="e">
        <f t="shared" si="118"/>
        <v>#REF!</v>
      </c>
      <c r="M640" s="450"/>
      <c r="N640" s="131" t="e">
        <f>IF(ISNA(MATCH(C640,#REF!,0)),"",INDEX(#REF!,MATCH(C640,#REF!,0)))</f>
        <v>#REF!</v>
      </c>
      <c r="O640" s="114" t="e">
        <f>SUMIF(#REF!,C640,#REF!)</f>
        <v>#REF!</v>
      </c>
      <c r="P640" s="114" t="s">
        <v>42</v>
      </c>
    </row>
    <row r="641" spans="1:16" x14ac:dyDescent="0.3">
      <c r="A641" s="50"/>
      <c r="B641" s="134"/>
      <c r="C641" s="201" t="s">
        <v>1699</v>
      </c>
      <c r="D641" s="273" t="s">
        <v>126</v>
      </c>
      <c r="E641" s="259" t="s">
        <v>1036</v>
      </c>
      <c r="F641" s="316">
        <v>1</v>
      </c>
      <c r="G641" s="207">
        <f t="shared" si="116"/>
        <v>28839.719999999994</v>
      </c>
      <c r="H641" s="243">
        <f>201+34+2618+787+195+57</f>
        <v>3892</v>
      </c>
      <c r="I641" s="354"/>
      <c r="J641" s="354"/>
      <c r="K641" s="186">
        <f t="shared" si="117"/>
        <v>28839.719999999994</v>
      </c>
      <c r="L641" s="321" t="e">
        <f t="shared" si="118"/>
        <v>#REF!</v>
      </c>
      <c r="M641" s="450"/>
      <c r="N641" s="131" t="e">
        <f>IF(ISNA(MATCH(C641,#REF!,0)),"",INDEX(#REF!,MATCH(C641,#REF!,0)))</f>
        <v>#REF!</v>
      </c>
      <c r="O641" s="114" t="e">
        <f>SUMIF(#REF!,C641,#REF!)</f>
        <v>#REF!</v>
      </c>
      <c r="P641" s="114" t="s">
        <v>42</v>
      </c>
    </row>
    <row r="642" spans="1:16" ht="26" x14ac:dyDescent="0.3">
      <c r="A642" s="50"/>
      <c r="B642" s="128" t="s">
        <v>127</v>
      </c>
      <c r="C642" s="213" t="s">
        <v>1700</v>
      </c>
      <c r="D642" s="60" t="s">
        <v>128</v>
      </c>
      <c r="E642" s="214"/>
      <c r="F642" s="215"/>
      <c r="G642" s="211"/>
      <c r="H642" s="304">
        <f>H643+H659</f>
        <v>625282</v>
      </c>
      <c r="I642" s="347"/>
      <c r="J642" s="347"/>
      <c r="K642" s="205">
        <f>K643+K659</f>
        <v>4633339.6199999992</v>
      </c>
      <c r="L642" s="205" t="e">
        <f>L643+L659</f>
        <v>#REF!</v>
      </c>
      <c r="M642" s="450" t="s">
        <v>1164</v>
      </c>
      <c r="N642" s="136" t="e">
        <f>IF(ISNA(MATCH(C642,#REF!,0)),"",INDEX(#REF!,MATCH(C642,#REF!,0)))</f>
        <v>#REF!</v>
      </c>
      <c r="O642" s="137" t="e">
        <f>SUMIF(#REF!,C642,#REF!)</f>
        <v>#REF!</v>
      </c>
      <c r="P642" s="130" t="s">
        <v>43</v>
      </c>
    </row>
    <row r="643" spans="1:16" x14ac:dyDescent="0.3">
      <c r="A643" s="50"/>
      <c r="B643" s="134"/>
      <c r="C643" s="216" t="s">
        <v>227</v>
      </c>
      <c r="D643" s="232" t="s">
        <v>206</v>
      </c>
      <c r="E643" s="233"/>
      <c r="F643" s="234"/>
      <c r="G643" s="235"/>
      <c r="H643" s="301">
        <f>SUM(H644:H644)</f>
        <v>44</v>
      </c>
      <c r="I643" s="343"/>
      <c r="J643" s="343"/>
      <c r="K643" s="236">
        <f>SUM(K644:K644)</f>
        <v>326.03999999999996</v>
      </c>
      <c r="L643" s="236" t="e">
        <f>SUM(L644:L644)</f>
        <v>#REF!</v>
      </c>
      <c r="M643" s="450"/>
      <c r="N643" s="126" t="e">
        <f>IF(ISNA(MATCH(C643,#REF!,0)),"",INDEX(#REF!,MATCH(C643,#REF!,0)))</f>
        <v>#REF!</v>
      </c>
      <c r="O643" s="127" t="e">
        <f>SUMIF(#REF!,C643,#REF!)</f>
        <v>#REF!</v>
      </c>
      <c r="P643" s="127" t="s">
        <v>43</v>
      </c>
    </row>
    <row r="644" spans="1:16" ht="26" x14ac:dyDescent="0.3">
      <c r="A644" s="50"/>
      <c r="B644" s="134"/>
      <c r="C644" s="201" t="s">
        <v>228</v>
      </c>
      <c r="D644" s="182" t="s">
        <v>129</v>
      </c>
      <c r="E644" s="190" t="s">
        <v>840</v>
      </c>
      <c r="F644" s="316">
        <v>7.1999999999999998E-3</v>
      </c>
      <c r="G644" s="207">
        <f>K644/F644</f>
        <v>45283.333333333328</v>
      </c>
      <c r="H644" s="243">
        <v>44</v>
      </c>
      <c r="I644" s="354"/>
      <c r="J644" s="354"/>
      <c r="K644" s="186">
        <f>H644*$C$4*$C$5</f>
        <v>326.03999999999996</v>
      </c>
      <c r="L644" s="321" t="e">
        <f>IF(N644="поставка Заказчика",N644,K644)</f>
        <v>#REF!</v>
      </c>
      <c r="M644" s="450"/>
      <c r="N644" s="319" t="e">
        <f>IF(ISNA(MATCH(C644,#REF!,0)),"",INDEX(#REF!,MATCH(C644,#REF!,0)))</f>
        <v>#REF!</v>
      </c>
      <c r="O644" s="113" t="e">
        <f>SUMIF(#REF!,C644,#REF!)</f>
        <v>#REF!</v>
      </c>
      <c r="P644" s="113" t="s">
        <v>43</v>
      </c>
    </row>
    <row r="645" spans="1:16" ht="13.5" x14ac:dyDescent="0.3">
      <c r="A645" s="50"/>
      <c r="B645" s="148"/>
      <c r="C645" s="262"/>
      <c r="D645" s="161" t="s">
        <v>1707</v>
      </c>
      <c r="E645" s="267"/>
      <c r="F645" s="263"/>
      <c r="G645" s="264"/>
      <c r="H645" s="310"/>
      <c r="I645" s="360"/>
      <c r="J645" s="360"/>
      <c r="K645" s="265"/>
      <c r="L645" s="265" t="e">
        <f>K645-O645</f>
        <v>#REF!</v>
      </c>
      <c r="M645" s="450"/>
      <c r="N645" s="157" t="e">
        <f>IF(ISNA(MATCH(C645,#REF!,0)),"",INDEX(#REF!,MATCH(C645,#REF!,0)))</f>
        <v>#REF!</v>
      </c>
      <c r="O645" s="158" t="e">
        <f>SUMIF(#REF!,C645,#REF!)</f>
        <v>#REF!</v>
      </c>
      <c r="P645" s="158" t="s">
        <v>43</v>
      </c>
    </row>
    <row r="646" spans="1:16" ht="39" x14ac:dyDescent="0.3">
      <c r="A646" s="50"/>
      <c r="B646" s="591"/>
      <c r="C646" s="596" t="s">
        <v>577</v>
      </c>
      <c r="D646" s="163" t="s">
        <v>130</v>
      </c>
      <c r="E646" s="275" t="s">
        <v>132</v>
      </c>
      <c r="F646" s="464">
        <v>1</v>
      </c>
      <c r="G646" s="240" t="str">
        <f t="shared" ref="G646:G658" si="119">IF(ISERR(L646/F646),"",K646/F646)</f>
        <v/>
      </c>
      <c r="H646" s="249">
        <f>833700*1017744/936701</f>
        <v>905831.39422291634</v>
      </c>
      <c r="I646" s="358">
        <f t="shared" ref="I646:I658" si="120">H646/1.0997</f>
        <v>823707.73322080239</v>
      </c>
      <c r="J646" s="358">
        <f t="shared" ref="J646:J658" si="121">I646/F646</f>
        <v>823707.73322080239</v>
      </c>
      <c r="K646" s="324">
        <f t="shared" ref="K646:K658" si="122">H646*$C$6</f>
        <v>3043593.4845889988</v>
      </c>
      <c r="L646" s="323" t="e">
        <f>IF(N646="Заказчика",N646,INDEX(#REF!,MATCH(C646,#REF!,0)))</f>
        <v>#REF!</v>
      </c>
      <c r="M646" s="450"/>
      <c r="N646" s="145" t="e">
        <f>IF(ISNA(MATCH(C646,#REF!,0)),"",INDEX(#REF!,MATCH(C646,#REF!,0)))</f>
        <v>#REF!</v>
      </c>
      <c r="O646" s="146" t="e">
        <f>SUMIF(#REF!,C646,#REF!)</f>
        <v>#REF!</v>
      </c>
      <c r="P646" s="146" t="s">
        <v>43</v>
      </c>
    </row>
    <row r="647" spans="1:16" ht="26" x14ac:dyDescent="0.3">
      <c r="A647" s="50"/>
      <c r="B647" s="591"/>
      <c r="C647" s="596" t="s">
        <v>578</v>
      </c>
      <c r="D647" s="163" t="s">
        <v>131</v>
      </c>
      <c r="E647" s="275" t="s">
        <v>970</v>
      </c>
      <c r="F647" s="464">
        <v>2</v>
      </c>
      <c r="G647" s="240" t="str">
        <f t="shared" si="119"/>
        <v/>
      </c>
      <c r="H647" s="249">
        <f>77825*1017744/936701</f>
        <v>84558.388215663275</v>
      </c>
      <c r="I647" s="358">
        <f t="shared" si="120"/>
        <v>76892.232623136573</v>
      </c>
      <c r="J647" s="358">
        <f t="shared" si="121"/>
        <v>38446.116311568287</v>
      </c>
      <c r="K647" s="324">
        <f t="shared" si="122"/>
        <v>284116.18440462858</v>
      </c>
      <c r="L647" s="323" t="e">
        <f>IF(N647="Заказчика",N647,INDEX(#REF!,MATCH(C647,#REF!,0)))</f>
        <v>#REF!</v>
      </c>
      <c r="M647" s="450"/>
      <c r="N647" s="145" t="e">
        <f>IF(ISNA(MATCH(C647,#REF!,0)),"",INDEX(#REF!,MATCH(C647,#REF!,0)))</f>
        <v>#REF!</v>
      </c>
      <c r="O647" s="146" t="e">
        <f>SUMIF(#REF!,C647,#REF!)</f>
        <v>#REF!</v>
      </c>
      <c r="P647" s="146" t="s">
        <v>43</v>
      </c>
    </row>
    <row r="648" spans="1:16" ht="39" x14ac:dyDescent="0.3">
      <c r="A648" s="50"/>
      <c r="B648" s="591"/>
      <c r="C648" s="596" t="s">
        <v>579</v>
      </c>
      <c r="D648" s="163" t="s">
        <v>133</v>
      </c>
      <c r="E648" s="275" t="s">
        <v>971</v>
      </c>
      <c r="F648" s="464">
        <v>0.6</v>
      </c>
      <c r="G648" s="240" t="str">
        <f t="shared" si="119"/>
        <v/>
      </c>
      <c r="H648" s="249">
        <f>618*1017744/936701</f>
        <v>671.46911554487508</v>
      </c>
      <c r="I648" s="358">
        <f t="shared" si="120"/>
        <v>610.59299403916987</v>
      </c>
      <c r="J648" s="358">
        <f t="shared" si="121"/>
        <v>1017.6549900652832</v>
      </c>
      <c r="K648" s="324">
        <f t="shared" si="122"/>
        <v>2256.13622823078</v>
      </c>
      <c r="L648" s="323" t="e">
        <f>IF(N648="Заказчика",N648,INDEX(#REF!,MATCH(C648,#REF!,0)))</f>
        <v>#REF!</v>
      </c>
      <c r="M648" s="450"/>
      <c r="N648" s="145" t="e">
        <f>IF(ISNA(MATCH(C648,#REF!,0)),"",INDEX(#REF!,MATCH(C648,#REF!,0)))</f>
        <v>#REF!</v>
      </c>
      <c r="O648" s="146" t="e">
        <f>SUMIF(#REF!,C648,#REF!)</f>
        <v>#REF!</v>
      </c>
      <c r="P648" s="146" t="s">
        <v>43</v>
      </c>
    </row>
    <row r="649" spans="1:16" x14ac:dyDescent="0.3">
      <c r="A649" s="50"/>
      <c r="B649" s="591"/>
      <c r="C649" s="596" t="s">
        <v>580</v>
      </c>
      <c r="D649" s="163" t="s">
        <v>134</v>
      </c>
      <c r="E649" s="275" t="s">
        <v>970</v>
      </c>
      <c r="F649" s="464">
        <v>1</v>
      </c>
      <c r="G649" s="240" t="str">
        <f t="shared" si="119"/>
        <v/>
      </c>
      <c r="H649" s="249">
        <f>620*1017744/936701</f>
        <v>673.64215475375818</v>
      </c>
      <c r="I649" s="358">
        <f t="shared" si="120"/>
        <v>612.56902314609283</v>
      </c>
      <c r="J649" s="358">
        <f t="shared" si="121"/>
        <v>612.56902314609283</v>
      </c>
      <c r="K649" s="324">
        <f t="shared" si="122"/>
        <v>2263.4376399726275</v>
      </c>
      <c r="L649" s="323" t="e">
        <f>IF(N649="Заказчика",N649,INDEX(#REF!,MATCH(C649,#REF!,0)))</f>
        <v>#REF!</v>
      </c>
      <c r="M649" s="450"/>
      <c r="N649" s="145" t="e">
        <f>IF(ISNA(MATCH(C649,#REF!,0)),"",INDEX(#REF!,MATCH(C649,#REF!,0)))</f>
        <v>#REF!</v>
      </c>
      <c r="O649" s="146" t="e">
        <f>SUMIF(#REF!,C649,#REF!)</f>
        <v>#REF!</v>
      </c>
      <c r="P649" s="146" t="s">
        <v>43</v>
      </c>
    </row>
    <row r="650" spans="1:16" x14ac:dyDescent="0.3">
      <c r="A650" s="50"/>
      <c r="B650" s="591"/>
      <c r="C650" s="596" t="s">
        <v>581</v>
      </c>
      <c r="D650" s="163" t="s">
        <v>135</v>
      </c>
      <c r="E650" s="275" t="s">
        <v>970</v>
      </c>
      <c r="F650" s="464">
        <v>3</v>
      </c>
      <c r="G650" s="240" t="str">
        <f t="shared" si="119"/>
        <v/>
      </c>
      <c r="H650" s="249">
        <f>3907*1017744/936701</f>
        <v>4245.0320945531175</v>
      </c>
      <c r="I650" s="358">
        <f t="shared" si="120"/>
        <v>3860.1728603738457</v>
      </c>
      <c r="J650" s="358">
        <f t="shared" si="121"/>
        <v>1286.7242867912819</v>
      </c>
      <c r="K650" s="324">
        <f t="shared" si="122"/>
        <v>14263.307837698474</v>
      </c>
      <c r="L650" s="323" t="e">
        <f>IF(N650="Заказчика",N650,INDEX(#REF!,MATCH(C650,#REF!,0)))</f>
        <v>#REF!</v>
      </c>
      <c r="M650" s="450"/>
      <c r="N650" s="145" t="e">
        <f>IF(ISNA(MATCH(C650,#REF!,0)),"",INDEX(#REF!,MATCH(C650,#REF!,0)))</f>
        <v>#REF!</v>
      </c>
      <c r="O650" s="146" t="e">
        <f>SUMIF(#REF!,C650,#REF!)</f>
        <v>#REF!</v>
      </c>
      <c r="P650" s="146" t="s">
        <v>43</v>
      </c>
    </row>
    <row r="651" spans="1:16" x14ac:dyDescent="0.3">
      <c r="A651" s="50"/>
      <c r="B651" s="591"/>
      <c r="C651" s="596" t="s">
        <v>582</v>
      </c>
      <c r="D651" s="163" t="s">
        <v>136</v>
      </c>
      <c r="E651" s="275" t="s">
        <v>970</v>
      </c>
      <c r="F651" s="464">
        <v>1</v>
      </c>
      <c r="G651" s="240" t="str">
        <f t="shared" si="119"/>
        <v/>
      </c>
      <c r="H651" s="249">
        <f>3639*1017744/936701</f>
        <v>3953.8448405627837</v>
      </c>
      <c r="I651" s="358">
        <f t="shared" si="120"/>
        <v>3595.3849600461799</v>
      </c>
      <c r="J651" s="358">
        <f t="shared" si="121"/>
        <v>3595.3849600461799</v>
      </c>
      <c r="K651" s="324">
        <f t="shared" si="122"/>
        <v>13284.918664290954</v>
      </c>
      <c r="L651" s="323" t="e">
        <f>IF(N651="Заказчика",N651,INDEX(#REF!,MATCH(C651,#REF!,0)))</f>
        <v>#REF!</v>
      </c>
      <c r="M651" s="450"/>
      <c r="N651" s="145" t="e">
        <f>IF(ISNA(MATCH(C651,#REF!,0)),"",INDEX(#REF!,MATCH(C651,#REF!,0)))</f>
        <v>#REF!</v>
      </c>
      <c r="O651" s="146" t="e">
        <f>SUMIF(#REF!,C651,#REF!)</f>
        <v>#REF!</v>
      </c>
      <c r="P651" s="146" t="s">
        <v>43</v>
      </c>
    </row>
    <row r="652" spans="1:16" x14ac:dyDescent="0.3">
      <c r="A652" s="50"/>
      <c r="B652" s="591"/>
      <c r="C652" s="596" t="s">
        <v>583</v>
      </c>
      <c r="D652" s="163" t="s">
        <v>137</v>
      </c>
      <c r="E652" s="275" t="s">
        <v>970</v>
      </c>
      <c r="F652" s="464">
        <v>1</v>
      </c>
      <c r="G652" s="240" t="str">
        <f t="shared" si="119"/>
        <v/>
      </c>
      <c r="H652" s="249">
        <f>2183*1017744/936701</f>
        <v>2371.8722964958934</v>
      </c>
      <c r="I652" s="358">
        <f t="shared" si="120"/>
        <v>2156.8357702063231</v>
      </c>
      <c r="J652" s="358">
        <f t="shared" si="121"/>
        <v>2156.8357702063231</v>
      </c>
      <c r="K652" s="324">
        <f t="shared" si="122"/>
        <v>7969.4909162262011</v>
      </c>
      <c r="L652" s="323" t="e">
        <f>IF(N652="Заказчика",N652,INDEX(#REF!,MATCH(C652,#REF!,0)))</f>
        <v>#REF!</v>
      </c>
      <c r="M652" s="450"/>
      <c r="N652" s="145" t="e">
        <f>IF(ISNA(MATCH(C652,#REF!,0)),"",INDEX(#REF!,MATCH(C652,#REF!,0)))</f>
        <v>#REF!</v>
      </c>
      <c r="O652" s="146" t="e">
        <f>SUMIF(#REF!,C652,#REF!)</f>
        <v>#REF!</v>
      </c>
      <c r="P652" s="146" t="s">
        <v>43</v>
      </c>
    </row>
    <row r="653" spans="1:16" x14ac:dyDescent="0.3">
      <c r="A653" s="50"/>
      <c r="B653" s="591"/>
      <c r="C653" s="596" t="s">
        <v>584</v>
      </c>
      <c r="D653" s="163" t="s">
        <v>138</v>
      </c>
      <c r="E653" s="275" t="s">
        <v>970</v>
      </c>
      <c r="F653" s="464">
        <v>1</v>
      </c>
      <c r="G653" s="240" t="str">
        <f t="shared" si="119"/>
        <v/>
      </c>
      <c r="H653" s="249">
        <f>2183*1017744/936701</f>
        <v>2371.8722964958934</v>
      </c>
      <c r="I653" s="358">
        <f t="shared" si="120"/>
        <v>2156.8357702063231</v>
      </c>
      <c r="J653" s="358">
        <f t="shared" si="121"/>
        <v>2156.8357702063231</v>
      </c>
      <c r="K653" s="324">
        <f t="shared" si="122"/>
        <v>7969.4909162262011</v>
      </c>
      <c r="L653" s="323" t="e">
        <f>IF(N653="Заказчика",N653,INDEX(#REF!,MATCH(C653,#REF!,0)))</f>
        <v>#REF!</v>
      </c>
      <c r="M653" s="450"/>
      <c r="N653" s="145" t="e">
        <f>IF(ISNA(MATCH(C653,#REF!,0)),"",INDEX(#REF!,MATCH(C653,#REF!,0)))</f>
        <v>#REF!</v>
      </c>
      <c r="O653" s="146" t="e">
        <f>SUMIF(#REF!,C653,#REF!)</f>
        <v>#REF!</v>
      </c>
      <c r="P653" s="146" t="s">
        <v>43</v>
      </c>
    </row>
    <row r="654" spans="1:16" x14ac:dyDescent="0.3">
      <c r="A654" s="50"/>
      <c r="B654" s="591"/>
      <c r="C654" s="596" t="s">
        <v>585</v>
      </c>
      <c r="D654" s="163" t="s">
        <v>139</v>
      </c>
      <c r="E654" s="275" t="s">
        <v>970</v>
      </c>
      <c r="F654" s="464">
        <v>1</v>
      </c>
      <c r="G654" s="240" t="str">
        <f t="shared" si="119"/>
        <v/>
      </c>
      <c r="H654" s="249">
        <f>1003*1017744/936701</f>
        <v>1089.7791632548701</v>
      </c>
      <c r="I654" s="358">
        <f t="shared" si="120"/>
        <v>990.97859712182435</v>
      </c>
      <c r="J654" s="358">
        <f t="shared" si="121"/>
        <v>990.97859712182435</v>
      </c>
      <c r="K654" s="324">
        <f t="shared" si="122"/>
        <v>3661.6579885363635</v>
      </c>
      <c r="L654" s="323" t="e">
        <f>IF(N654="Заказчика",N654,INDEX(#REF!,MATCH(C654,#REF!,0)))</f>
        <v>#REF!</v>
      </c>
      <c r="M654" s="450"/>
      <c r="N654" s="145" t="e">
        <f>IF(ISNA(MATCH(C654,#REF!,0)),"",INDEX(#REF!,MATCH(C654,#REF!,0)))</f>
        <v>#REF!</v>
      </c>
      <c r="O654" s="146" t="e">
        <f>SUMIF(#REF!,C654,#REF!)</f>
        <v>#REF!</v>
      </c>
      <c r="P654" s="146" t="s">
        <v>43</v>
      </c>
    </row>
    <row r="655" spans="1:16" x14ac:dyDescent="0.3">
      <c r="A655" s="50"/>
      <c r="B655" s="591"/>
      <c r="C655" s="596" t="s">
        <v>586</v>
      </c>
      <c r="D655" s="163" t="s">
        <v>140</v>
      </c>
      <c r="E655" s="275" t="s">
        <v>970</v>
      </c>
      <c r="F655" s="464">
        <v>3</v>
      </c>
      <c r="G655" s="240" t="str">
        <f t="shared" si="119"/>
        <v/>
      </c>
      <c r="H655" s="249">
        <f>2728*1017744/936701</f>
        <v>2964.0254809165358</v>
      </c>
      <c r="I655" s="358">
        <f t="shared" si="120"/>
        <v>2695.3037018428081</v>
      </c>
      <c r="J655" s="358">
        <f t="shared" si="121"/>
        <v>898.43456728093599</v>
      </c>
      <c r="K655" s="324">
        <f t="shared" si="122"/>
        <v>9959.1256158795604</v>
      </c>
      <c r="L655" s="323" t="e">
        <f>IF(N655="Заказчика",N655,INDEX(#REF!,MATCH(C655,#REF!,0)))</f>
        <v>#REF!</v>
      </c>
      <c r="M655" s="450"/>
      <c r="N655" s="145" t="e">
        <f>IF(ISNA(MATCH(C655,#REF!,0)),"",INDEX(#REF!,MATCH(C655,#REF!,0)))</f>
        <v>#REF!</v>
      </c>
      <c r="O655" s="146" t="e">
        <f>SUMIF(#REF!,C655,#REF!)</f>
        <v>#REF!</v>
      </c>
      <c r="P655" s="146" t="s">
        <v>43</v>
      </c>
    </row>
    <row r="656" spans="1:16" ht="26" x14ac:dyDescent="0.3">
      <c r="A656" s="50"/>
      <c r="B656" s="591"/>
      <c r="C656" s="596" t="s">
        <v>587</v>
      </c>
      <c r="D656" s="163" t="s">
        <v>141</v>
      </c>
      <c r="E656" s="275" t="s">
        <v>970</v>
      </c>
      <c r="F656" s="464">
        <v>2</v>
      </c>
      <c r="G656" s="240" t="str">
        <f t="shared" si="119"/>
        <v/>
      </c>
      <c r="H656" s="249">
        <f>6007*1017744/936701</f>
        <v>6526.7232638803634</v>
      </c>
      <c r="I656" s="358">
        <f t="shared" si="120"/>
        <v>5935.0034226428697</v>
      </c>
      <c r="J656" s="358">
        <f t="shared" si="121"/>
        <v>2967.5017113214349</v>
      </c>
      <c r="K656" s="324">
        <f t="shared" si="122"/>
        <v>21929.79016663802</v>
      </c>
      <c r="L656" s="323" t="e">
        <f>IF(N656="Заказчика",N656,INDEX(#REF!,MATCH(C656,#REF!,0)))</f>
        <v>#REF!</v>
      </c>
      <c r="M656" s="450"/>
      <c r="N656" s="145" t="e">
        <f>IF(ISNA(MATCH(C656,#REF!,0)),"",INDEX(#REF!,MATCH(C656,#REF!,0)))</f>
        <v>#REF!</v>
      </c>
      <c r="O656" s="146" t="e">
        <f>SUMIF(#REF!,C656,#REF!)</f>
        <v>#REF!</v>
      </c>
      <c r="P656" s="146" t="s">
        <v>43</v>
      </c>
    </row>
    <row r="657" spans="1:16" x14ac:dyDescent="0.3">
      <c r="A657" s="50"/>
      <c r="B657" s="591"/>
      <c r="C657" s="596" t="s">
        <v>588</v>
      </c>
      <c r="D657" s="163" t="s">
        <v>142</v>
      </c>
      <c r="E657" s="275" t="s">
        <v>970</v>
      </c>
      <c r="F657" s="464">
        <v>1</v>
      </c>
      <c r="G657" s="240" t="str">
        <f t="shared" si="119"/>
        <v/>
      </c>
      <c r="H657" s="249">
        <f>294*1017744/936701</f>
        <v>319.43676370581431</v>
      </c>
      <c r="I657" s="358">
        <f t="shared" si="120"/>
        <v>290.47627871766332</v>
      </c>
      <c r="J657" s="358">
        <f t="shared" si="121"/>
        <v>290.47627871766332</v>
      </c>
      <c r="K657" s="324">
        <f t="shared" si="122"/>
        <v>1073.3075260515361</v>
      </c>
      <c r="L657" s="323" t="e">
        <f>IF(N657="Заказчика",N657,INDEX(#REF!,MATCH(C657,#REF!,0)))</f>
        <v>#REF!</v>
      </c>
      <c r="M657" s="450"/>
      <c r="N657" s="145" t="e">
        <f>IF(ISNA(MATCH(C657,#REF!,0)),"",INDEX(#REF!,MATCH(C657,#REF!,0)))</f>
        <v>#REF!</v>
      </c>
      <c r="O657" s="146" t="e">
        <f>SUMIF(#REF!,C657,#REF!)</f>
        <v>#REF!</v>
      </c>
      <c r="P657" s="146" t="s">
        <v>43</v>
      </c>
    </row>
    <row r="658" spans="1:16" ht="26" x14ac:dyDescent="0.3">
      <c r="A658" s="50"/>
      <c r="B658" s="591"/>
      <c r="C658" s="596" t="s">
        <v>589</v>
      </c>
      <c r="D658" s="163" t="s">
        <v>143</v>
      </c>
      <c r="E658" s="275" t="s">
        <v>970</v>
      </c>
      <c r="F658" s="464">
        <v>3</v>
      </c>
      <c r="G658" s="240" t="str">
        <f t="shared" si="119"/>
        <v/>
      </c>
      <c r="H658" s="249">
        <f>1994*1017744/936701</f>
        <v>2166.5200912564414</v>
      </c>
      <c r="I658" s="358">
        <f t="shared" si="120"/>
        <v>1970.1010196021111</v>
      </c>
      <c r="J658" s="358">
        <f t="shared" si="121"/>
        <v>656.70033986737042</v>
      </c>
      <c r="K658" s="324">
        <f t="shared" si="122"/>
        <v>7279.5075066216432</v>
      </c>
      <c r="L658" s="323" t="e">
        <f>IF(N658="Заказчика",N658,INDEX(#REF!,MATCH(C658,#REF!,0)))</f>
        <v>#REF!</v>
      </c>
      <c r="M658" s="450"/>
      <c r="N658" s="145" t="e">
        <f>IF(ISNA(MATCH(C658,#REF!,0)),"",INDEX(#REF!,MATCH(C658,#REF!,0)))</f>
        <v>#REF!</v>
      </c>
      <c r="O658" s="146" t="e">
        <f>SUMIF(#REF!,C658,#REF!)</f>
        <v>#REF!</v>
      </c>
      <c r="P658" s="146" t="s">
        <v>43</v>
      </c>
    </row>
    <row r="659" spans="1:16" x14ac:dyDescent="0.3">
      <c r="A659" s="50"/>
      <c r="B659" s="134"/>
      <c r="C659" s="216" t="s">
        <v>229</v>
      </c>
      <c r="D659" s="232" t="s">
        <v>721</v>
      </c>
      <c r="E659" s="233"/>
      <c r="F659" s="234"/>
      <c r="G659" s="235"/>
      <c r="H659" s="301">
        <f>SUM(H660:H696)</f>
        <v>625238</v>
      </c>
      <c r="I659" s="343"/>
      <c r="J659" s="343"/>
      <c r="K659" s="236">
        <f>SUM(K660:K696)</f>
        <v>4633013.5799999991</v>
      </c>
      <c r="L659" s="236" t="e">
        <f>SUM(L660:L696)</f>
        <v>#REF!</v>
      </c>
      <c r="M659" s="450"/>
      <c r="N659" s="126" t="e">
        <f>IF(ISNA(MATCH(C659,#REF!,0)),"",INDEX(#REF!,MATCH(C659,#REF!,0)))</f>
        <v>#REF!</v>
      </c>
      <c r="O659" s="127" t="e">
        <f>SUMIF(#REF!,C659,#REF!)</f>
        <v>#REF!</v>
      </c>
      <c r="P659" s="127" t="s">
        <v>43</v>
      </c>
    </row>
    <row r="660" spans="1:16" ht="26" x14ac:dyDescent="0.3">
      <c r="A660" s="50"/>
      <c r="B660" s="134"/>
      <c r="C660" s="201" t="s">
        <v>230</v>
      </c>
      <c r="D660" s="182" t="s">
        <v>144</v>
      </c>
      <c r="E660" s="259" t="s">
        <v>970</v>
      </c>
      <c r="F660" s="316">
        <v>1</v>
      </c>
      <c r="G660" s="207">
        <f t="shared" ref="G660:G696" si="123">K660/F660</f>
        <v>51469.86</v>
      </c>
      <c r="H660" s="243">
        <v>6946</v>
      </c>
      <c r="I660" s="354"/>
      <c r="J660" s="354"/>
      <c r="K660" s="186">
        <f t="shared" ref="K660:K696" si="124">H660*$C$4*$C$5</f>
        <v>51469.86</v>
      </c>
      <c r="L660" s="321" t="e">
        <f t="shared" ref="L660:L696" si="125">IF(N660="поставка Заказчика",N660,K660)</f>
        <v>#REF!</v>
      </c>
      <c r="M660" s="450"/>
      <c r="N660" s="131" t="e">
        <f>IF(ISNA(MATCH(C660,#REF!,0)),"",INDEX(#REF!,MATCH(C660,#REF!,0)))</f>
        <v>#REF!</v>
      </c>
      <c r="O660" s="114" t="e">
        <f>SUMIF(#REF!,C660,#REF!)</f>
        <v>#REF!</v>
      </c>
      <c r="P660" s="114" t="s">
        <v>43</v>
      </c>
    </row>
    <row r="661" spans="1:16" ht="26" x14ac:dyDescent="0.3">
      <c r="A661" s="50"/>
      <c r="B661" s="134"/>
      <c r="C661" s="201" t="s">
        <v>231</v>
      </c>
      <c r="D661" s="182" t="s">
        <v>145</v>
      </c>
      <c r="E661" s="259" t="s">
        <v>970</v>
      </c>
      <c r="F661" s="316">
        <v>1</v>
      </c>
      <c r="G661" s="207">
        <f t="shared" si="123"/>
        <v>51469.86</v>
      </c>
      <c r="H661" s="187">
        <v>6946</v>
      </c>
      <c r="I661" s="244"/>
      <c r="J661" s="244"/>
      <c r="K661" s="186">
        <f t="shared" si="124"/>
        <v>51469.86</v>
      </c>
      <c r="L661" s="321" t="e">
        <f t="shared" si="125"/>
        <v>#REF!</v>
      </c>
      <c r="M661" s="450"/>
      <c r="N661" s="131" t="e">
        <f>IF(ISNA(MATCH(C661,#REF!,0)),"",INDEX(#REF!,MATCH(C661,#REF!,0)))</f>
        <v>#REF!</v>
      </c>
      <c r="O661" s="114" t="e">
        <f>SUMIF(#REF!,C661,#REF!)</f>
        <v>#REF!</v>
      </c>
      <c r="P661" s="114" t="s">
        <v>43</v>
      </c>
    </row>
    <row r="662" spans="1:16" ht="26" x14ac:dyDescent="0.3">
      <c r="A662" s="50"/>
      <c r="B662" s="134"/>
      <c r="C662" s="201" t="s">
        <v>232</v>
      </c>
      <c r="D662" s="182" t="s">
        <v>146</v>
      </c>
      <c r="E662" s="259" t="s">
        <v>970</v>
      </c>
      <c r="F662" s="316">
        <v>1</v>
      </c>
      <c r="G662" s="207">
        <f t="shared" si="123"/>
        <v>51469.86</v>
      </c>
      <c r="H662" s="187">
        <v>6946</v>
      </c>
      <c r="I662" s="244"/>
      <c r="J662" s="244"/>
      <c r="K662" s="186">
        <f t="shared" si="124"/>
        <v>51469.86</v>
      </c>
      <c r="L662" s="321" t="e">
        <f t="shared" si="125"/>
        <v>#REF!</v>
      </c>
      <c r="M662" s="450"/>
      <c r="N662" s="131" t="e">
        <f>IF(ISNA(MATCH(C662,#REF!,0)),"",INDEX(#REF!,MATCH(C662,#REF!,0)))</f>
        <v>#REF!</v>
      </c>
      <c r="O662" s="114" t="e">
        <f>SUMIF(#REF!,C662,#REF!)</f>
        <v>#REF!</v>
      </c>
      <c r="P662" s="114" t="s">
        <v>43</v>
      </c>
    </row>
    <row r="663" spans="1:16" ht="26" x14ac:dyDescent="0.3">
      <c r="A663" s="50"/>
      <c r="B663" s="134"/>
      <c r="C663" s="201" t="s">
        <v>233</v>
      </c>
      <c r="D663" s="182" t="s">
        <v>147</v>
      </c>
      <c r="E663" s="259" t="s">
        <v>970</v>
      </c>
      <c r="F663" s="316">
        <v>1</v>
      </c>
      <c r="G663" s="207">
        <f t="shared" si="123"/>
        <v>35427.209999999992</v>
      </c>
      <c r="H663" s="187">
        <v>4781</v>
      </c>
      <c r="I663" s="244"/>
      <c r="J663" s="244"/>
      <c r="K663" s="186">
        <f t="shared" si="124"/>
        <v>35427.209999999992</v>
      </c>
      <c r="L663" s="321" t="e">
        <f t="shared" si="125"/>
        <v>#REF!</v>
      </c>
      <c r="M663" s="450"/>
      <c r="N663" s="131" t="e">
        <f>IF(ISNA(MATCH(C663,#REF!,0)),"",INDEX(#REF!,MATCH(C663,#REF!,0)))</f>
        <v>#REF!</v>
      </c>
      <c r="O663" s="114" t="e">
        <f>SUMIF(#REF!,C663,#REF!)</f>
        <v>#REF!</v>
      </c>
      <c r="P663" s="114" t="s">
        <v>43</v>
      </c>
    </row>
    <row r="664" spans="1:16" ht="39" x14ac:dyDescent="0.3">
      <c r="A664" s="50"/>
      <c r="B664" s="134"/>
      <c r="C664" s="201" t="s">
        <v>234</v>
      </c>
      <c r="D664" s="182" t="s">
        <v>148</v>
      </c>
      <c r="E664" s="259" t="s">
        <v>970</v>
      </c>
      <c r="F664" s="316">
        <v>2</v>
      </c>
      <c r="G664" s="207">
        <f t="shared" si="123"/>
        <v>1018.875</v>
      </c>
      <c r="H664" s="187">
        <v>275</v>
      </c>
      <c r="I664" s="244"/>
      <c r="J664" s="244"/>
      <c r="K664" s="186">
        <f t="shared" si="124"/>
        <v>2037.75</v>
      </c>
      <c r="L664" s="321" t="e">
        <f t="shared" si="125"/>
        <v>#REF!</v>
      </c>
      <c r="M664" s="450"/>
      <c r="N664" s="131" t="e">
        <f>IF(ISNA(MATCH(C664,#REF!,0)),"",INDEX(#REF!,MATCH(C664,#REF!,0)))</f>
        <v>#REF!</v>
      </c>
      <c r="O664" s="114" t="e">
        <f>SUMIF(#REF!,C664,#REF!)</f>
        <v>#REF!</v>
      </c>
      <c r="P664" s="114" t="s">
        <v>43</v>
      </c>
    </row>
    <row r="665" spans="1:16" ht="39" x14ac:dyDescent="0.3">
      <c r="A665" s="50"/>
      <c r="B665" s="134"/>
      <c r="C665" s="201" t="s">
        <v>235</v>
      </c>
      <c r="D665" s="182" t="s">
        <v>149</v>
      </c>
      <c r="E665" s="259" t="s">
        <v>971</v>
      </c>
      <c r="F665" s="316">
        <v>0.6</v>
      </c>
      <c r="G665" s="207">
        <f t="shared" si="123"/>
        <v>3618.55</v>
      </c>
      <c r="H665" s="187">
        <v>293</v>
      </c>
      <c r="I665" s="244"/>
      <c r="J665" s="244"/>
      <c r="K665" s="186">
        <f t="shared" si="124"/>
        <v>2171.13</v>
      </c>
      <c r="L665" s="321" t="e">
        <f t="shared" si="125"/>
        <v>#REF!</v>
      </c>
      <c r="M665" s="450"/>
      <c r="N665" s="131" t="e">
        <f>IF(ISNA(MATCH(C665,#REF!,0)),"",INDEX(#REF!,MATCH(C665,#REF!,0)))</f>
        <v>#REF!</v>
      </c>
      <c r="O665" s="114" t="e">
        <f>SUMIF(#REF!,C665,#REF!)</f>
        <v>#REF!</v>
      </c>
      <c r="P665" s="114" t="s">
        <v>43</v>
      </c>
    </row>
    <row r="666" spans="1:16" ht="26" x14ac:dyDescent="0.3">
      <c r="A666" s="50"/>
      <c r="B666" s="134"/>
      <c r="C666" s="201" t="s">
        <v>236</v>
      </c>
      <c r="D666" s="182" t="s">
        <v>150</v>
      </c>
      <c r="E666" s="259" t="s">
        <v>970</v>
      </c>
      <c r="F666" s="316">
        <v>11</v>
      </c>
      <c r="G666" s="207">
        <f t="shared" si="123"/>
        <v>260.02363636363634</v>
      </c>
      <c r="H666" s="187">
        <v>386</v>
      </c>
      <c r="I666" s="244"/>
      <c r="J666" s="244"/>
      <c r="K666" s="186">
        <f t="shared" si="124"/>
        <v>2860.2599999999998</v>
      </c>
      <c r="L666" s="321" t="e">
        <f t="shared" si="125"/>
        <v>#REF!</v>
      </c>
      <c r="M666" s="450"/>
      <c r="N666" s="131" t="e">
        <f>IF(ISNA(MATCH(C666,#REF!,0)),"",INDEX(#REF!,MATCH(C666,#REF!,0)))</f>
        <v>#REF!</v>
      </c>
      <c r="O666" s="114" t="e">
        <f>SUMIF(#REF!,C666,#REF!)</f>
        <v>#REF!</v>
      </c>
      <c r="P666" s="114" t="s">
        <v>43</v>
      </c>
    </row>
    <row r="667" spans="1:16" ht="26" x14ac:dyDescent="0.3">
      <c r="A667" s="50"/>
      <c r="B667" s="134"/>
      <c r="C667" s="201" t="s">
        <v>237</v>
      </c>
      <c r="D667" s="182" t="s">
        <v>151</v>
      </c>
      <c r="E667" s="259" t="s">
        <v>970</v>
      </c>
      <c r="F667" s="316">
        <v>2</v>
      </c>
      <c r="G667" s="207">
        <f t="shared" si="123"/>
        <v>351.97499999999997</v>
      </c>
      <c r="H667" s="187">
        <v>95</v>
      </c>
      <c r="I667" s="244"/>
      <c r="J667" s="244"/>
      <c r="K667" s="186">
        <f t="shared" si="124"/>
        <v>703.94999999999993</v>
      </c>
      <c r="L667" s="321" t="e">
        <f t="shared" si="125"/>
        <v>#REF!</v>
      </c>
      <c r="M667" s="450"/>
      <c r="N667" s="131" t="e">
        <f>IF(ISNA(MATCH(C667,#REF!,0)),"",INDEX(#REF!,MATCH(C667,#REF!,0)))</f>
        <v>#REF!</v>
      </c>
      <c r="O667" s="114" t="e">
        <f>SUMIF(#REF!,C667,#REF!)</f>
        <v>#REF!</v>
      </c>
      <c r="P667" s="114" t="s">
        <v>43</v>
      </c>
    </row>
    <row r="668" spans="1:16" ht="52" x14ac:dyDescent="0.3">
      <c r="A668" s="50"/>
      <c r="B668" s="134"/>
      <c r="C668" s="201" t="s">
        <v>238</v>
      </c>
      <c r="D668" s="182" t="s">
        <v>152</v>
      </c>
      <c r="E668" s="259" t="s">
        <v>970</v>
      </c>
      <c r="F668" s="316">
        <v>1</v>
      </c>
      <c r="G668" s="207">
        <f t="shared" si="123"/>
        <v>1059.6299999999999</v>
      </c>
      <c r="H668" s="187">
        <v>143</v>
      </c>
      <c r="I668" s="244"/>
      <c r="J668" s="244"/>
      <c r="K668" s="186">
        <f t="shared" si="124"/>
        <v>1059.6299999999999</v>
      </c>
      <c r="L668" s="321" t="e">
        <f t="shared" si="125"/>
        <v>#REF!</v>
      </c>
      <c r="M668" s="450"/>
      <c r="N668" s="131" t="e">
        <f>IF(ISNA(MATCH(C668,#REF!,0)),"",INDEX(#REF!,MATCH(C668,#REF!,0)))</f>
        <v>#REF!</v>
      </c>
      <c r="O668" s="114" t="e">
        <f>SUMIF(#REF!,C668,#REF!)</f>
        <v>#REF!</v>
      </c>
      <c r="P668" s="114" t="s">
        <v>43</v>
      </c>
    </row>
    <row r="669" spans="1:16" ht="52" x14ac:dyDescent="0.3">
      <c r="A669" s="50"/>
      <c r="B669" s="134"/>
      <c r="C669" s="201" t="s">
        <v>239</v>
      </c>
      <c r="D669" s="182" t="s">
        <v>153</v>
      </c>
      <c r="E669" s="259" t="s">
        <v>970</v>
      </c>
      <c r="F669" s="316">
        <v>1</v>
      </c>
      <c r="G669" s="207">
        <f t="shared" si="123"/>
        <v>363.09</v>
      </c>
      <c r="H669" s="187">
        <v>49</v>
      </c>
      <c r="I669" s="244"/>
      <c r="J669" s="244"/>
      <c r="K669" s="186">
        <f t="shared" si="124"/>
        <v>363.09</v>
      </c>
      <c r="L669" s="321" t="e">
        <f t="shared" si="125"/>
        <v>#REF!</v>
      </c>
      <c r="M669" s="450"/>
      <c r="N669" s="131" t="e">
        <f>IF(ISNA(MATCH(C669,#REF!,0)),"",INDEX(#REF!,MATCH(C669,#REF!,0)))</f>
        <v>#REF!</v>
      </c>
      <c r="O669" s="114" t="e">
        <f>SUMIF(#REF!,C669,#REF!)</f>
        <v>#REF!</v>
      </c>
      <c r="P669" s="114" t="s">
        <v>43</v>
      </c>
    </row>
    <row r="670" spans="1:16" ht="39" x14ac:dyDescent="0.3">
      <c r="A670" s="50"/>
      <c r="B670" s="134"/>
      <c r="C670" s="201" t="s">
        <v>240</v>
      </c>
      <c r="D670" s="182" t="s">
        <v>154</v>
      </c>
      <c r="E670" s="259" t="s">
        <v>970</v>
      </c>
      <c r="F670" s="316">
        <v>3</v>
      </c>
      <c r="G670" s="207">
        <f t="shared" si="123"/>
        <v>1091.74</v>
      </c>
      <c r="H670" s="187">
        <v>442</v>
      </c>
      <c r="I670" s="244"/>
      <c r="J670" s="244"/>
      <c r="K670" s="186">
        <f t="shared" si="124"/>
        <v>3275.22</v>
      </c>
      <c r="L670" s="321" t="e">
        <f t="shared" si="125"/>
        <v>#REF!</v>
      </c>
      <c r="M670" s="450"/>
      <c r="N670" s="131" t="e">
        <f>IF(ISNA(MATCH(C670,#REF!,0)),"",INDEX(#REF!,MATCH(C670,#REF!,0)))</f>
        <v>#REF!</v>
      </c>
      <c r="O670" s="114" t="e">
        <f>SUMIF(#REF!,C670,#REF!)</f>
        <v>#REF!</v>
      </c>
      <c r="P670" s="114" t="s">
        <v>43</v>
      </c>
    </row>
    <row r="671" spans="1:16" ht="26" x14ac:dyDescent="0.3">
      <c r="A671" s="50"/>
      <c r="B671" s="134"/>
      <c r="C671" s="201" t="s">
        <v>241</v>
      </c>
      <c r="D671" s="182" t="s">
        <v>155</v>
      </c>
      <c r="E671" s="259" t="s">
        <v>948</v>
      </c>
      <c r="F671" s="316">
        <f>0.291+0.1552+0.1746</f>
        <v>0.62080000000000002</v>
      </c>
      <c r="G671" s="207">
        <f t="shared" si="123"/>
        <v>22081.990979381444</v>
      </c>
      <c r="H671" s="187">
        <f>711+502+637</f>
        <v>1850</v>
      </c>
      <c r="I671" s="244"/>
      <c r="J671" s="244"/>
      <c r="K671" s="186">
        <f t="shared" si="124"/>
        <v>13708.5</v>
      </c>
      <c r="L671" s="321" t="e">
        <f t="shared" si="125"/>
        <v>#REF!</v>
      </c>
      <c r="M671" s="450"/>
      <c r="N671" s="131" t="e">
        <f>IF(ISNA(MATCH(C671,#REF!,0)),"",INDEX(#REF!,MATCH(C671,#REF!,0)))</f>
        <v>#REF!</v>
      </c>
      <c r="O671" s="114" t="e">
        <f>SUMIF(#REF!,C671,#REF!)</f>
        <v>#REF!</v>
      </c>
      <c r="P671" s="114" t="s">
        <v>43</v>
      </c>
    </row>
    <row r="672" spans="1:16" ht="39" x14ac:dyDescent="0.3">
      <c r="A672" s="50"/>
      <c r="B672" s="134"/>
      <c r="C672" s="201" t="s">
        <v>242</v>
      </c>
      <c r="D672" s="182" t="s">
        <v>156</v>
      </c>
      <c r="E672" s="259" t="s">
        <v>157</v>
      </c>
      <c r="F672" s="316">
        <f>3.65+7.77</f>
        <v>11.42</v>
      </c>
      <c r="G672" s="207">
        <f t="shared" si="123"/>
        <v>3642.0604203152366</v>
      </c>
      <c r="H672" s="187">
        <f>4818+795</f>
        <v>5613</v>
      </c>
      <c r="I672" s="244"/>
      <c r="J672" s="244"/>
      <c r="K672" s="186">
        <f t="shared" si="124"/>
        <v>41592.33</v>
      </c>
      <c r="L672" s="321" t="e">
        <f t="shared" si="125"/>
        <v>#REF!</v>
      </c>
      <c r="M672" s="450"/>
      <c r="N672" s="131" t="e">
        <f>IF(ISNA(MATCH(C672,#REF!,0)),"",INDEX(#REF!,MATCH(C672,#REF!,0)))</f>
        <v>#REF!</v>
      </c>
      <c r="O672" s="114" t="e">
        <f>SUMIF(#REF!,C672,#REF!)</f>
        <v>#REF!</v>
      </c>
      <c r="P672" s="114" t="s">
        <v>43</v>
      </c>
    </row>
    <row r="673" spans="1:16" ht="26" x14ac:dyDescent="0.3">
      <c r="A673" s="50"/>
      <c r="B673" s="134"/>
      <c r="C673" s="201" t="s">
        <v>243</v>
      </c>
      <c r="D673" s="182" t="s">
        <v>158</v>
      </c>
      <c r="E673" s="259" t="s">
        <v>948</v>
      </c>
      <c r="F673" s="316">
        <v>0.1164</v>
      </c>
      <c r="G673" s="207">
        <f t="shared" si="123"/>
        <v>466626.28865979379</v>
      </c>
      <c r="H673" s="187">
        <f>7078+244+9-1</f>
        <v>7330</v>
      </c>
      <c r="I673" s="244"/>
      <c r="J673" s="244"/>
      <c r="K673" s="186">
        <f t="shared" si="124"/>
        <v>54315.299999999996</v>
      </c>
      <c r="L673" s="321" t="e">
        <f t="shared" si="125"/>
        <v>#REF!</v>
      </c>
      <c r="M673" s="450"/>
      <c r="N673" s="131" t="e">
        <f>IF(ISNA(MATCH(C673,#REF!,0)),"",INDEX(#REF!,MATCH(C673,#REF!,0)))</f>
        <v>#REF!</v>
      </c>
      <c r="O673" s="114" t="e">
        <f>SUMIF(#REF!,C673,#REF!)</f>
        <v>#REF!</v>
      </c>
      <c r="P673" s="114" t="s">
        <v>43</v>
      </c>
    </row>
    <row r="674" spans="1:16" ht="26" x14ac:dyDescent="0.3">
      <c r="A674" s="50"/>
      <c r="B674" s="134"/>
      <c r="C674" s="201" t="s">
        <v>244</v>
      </c>
      <c r="D674" s="182" t="s">
        <v>159</v>
      </c>
      <c r="E674" s="259" t="s">
        <v>948</v>
      </c>
      <c r="F674" s="316">
        <f>0.7+4.024+1.132+2.234+0.00102+9.388+2.461+5.214+0.00238</f>
        <v>25.156399999999994</v>
      </c>
      <c r="G674" s="207">
        <f t="shared" si="123"/>
        <v>13038.871221637439</v>
      </c>
      <c r="H674" s="187">
        <f>724+3750+1421+4887+2+13083+4545+15844+10</f>
        <v>44266</v>
      </c>
      <c r="I674" s="244"/>
      <c r="J674" s="244"/>
      <c r="K674" s="186">
        <f t="shared" si="124"/>
        <v>328011.06</v>
      </c>
      <c r="L674" s="321" t="e">
        <f t="shared" si="125"/>
        <v>#REF!</v>
      </c>
      <c r="M674" s="450"/>
      <c r="N674" s="131" t="e">
        <f>IF(ISNA(MATCH(C674,#REF!,0)),"",INDEX(#REF!,MATCH(C674,#REF!,0)))</f>
        <v>#REF!</v>
      </c>
      <c r="O674" s="114" t="e">
        <f>SUMIF(#REF!,C674,#REF!)</f>
        <v>#REF!</v>
      </c>
      <c r="P674" s="114" t="s">
        <v>43</v>
      </c>
    </row>
    <row r="675" spans="1:16" x14ac:dyDescent="0.3">
      <c r="A675" s="50"/>
      <c r="B675" s="134"/>
      <c r="C675" s="201" t="s">
        <v>245</v>
      </c>
      <c r="D675" s="182" t="s">
        <v>967</v>
      </c>
      <c r="E675" s="259" t="s">
        <v>970</v>
      </c>
      <c r="F675" s="316">
        <f>6+4+50+6+8</f>
        <v>74</v>
      </c>
      <c r="G675" s="207">
        <f t="shared" si="123"/>
        <v>330.44594594594588</v>
      </c>
      <c r="H675" s="187">
        <f>173+204+2175+299+449</f>
        <v>3300</v>
      </c>
      <c r="I675" s="244"/>
      <c r="J675" s="244"/>
      <c r="K675" s="186">
        <f t="shared" si="124"/>
        <v>24452.999999999996</v>
      </c>
      <c r="L675" s="321" t="e">
        <f t="shared" si="125"/>
        <v>#REF!</v>
      </c>
      <c r="M675" s="450"/>
      <c r="N675" s="131" t="e">
        <f>IF(ISNA(MATCH(C675,#REF!,0)),"",INDEX(#REF!,MATCH(C675,#REF!,0)))</f>
        <v>#REF!</v>
      </c>
      <c r="O675" s="114" t="e">
        <f>SUMIF(#REF!,C675,#REF!)</f>
        <v>#REF!</v>
      </c>
      <c r="P675" s="114" t="s">
        <v>43</v>
      </c>
    </row>
    <row r="676" spans="1:16" x14ac:dyDescent="0.3">
      <c r="A676" s="50"/>
      <c r="B676" s="134"/>
      <c r="C676" s="201" t="s">
        <v>246</v>
      </c>
      <c r="D676" s="182" t="s">
        <v>160</v>
      </c>
      <c r="E676" s="259" t="s">
        <v>161</v>
      </c>
      <c r="F676" s="316">
        <f>1.1+0.15</f>
        <v>1.25</v>
      </c>
      <c r="G676" s="207">
        <f t="shared" si="123"/>
        <v>9988.6799999999985</v>
      </c>
      <c r="H676" s="187">
        <f>1092+228+133-131+288+88-85+72</f>
        <v>1685</v>
      </c>
      <c r="I676" s="244"/>
      <c r="J676" s="244"/>
      <c r="K676" s="186">
        <f t="shared" si="124"/>
        <v>12485.849999999999</v>
      </c>
      <c r="L676" s="321" t="e">
        <f t="shared" si="125"/>
        <v>#REF!</v>
      </c>
      <c r="M676" s="450"/>
      <c r="N676" s="131" t="e">
        <f>IF(ISNA(MATCH(C676,#REF!,0)),"",INDEX(#REF!,MATCH(C676,#REF!,0)))</f>
        <v>#REF!</v>
      </c>
      <c r="O676" s="114" t="e">
        <f>SUMIF(#REF!,C676,#REF!)</f>
        <v>#REF!</v>
      </c>
      <c r="P676" s="114" t="s">
        <v>43</v>
      </c>
    </row>
    <row r="677" spans="1:16" ht="26" x14ac:dyDescent="0.3">
      <c r="A677" s="50"/>
      <c r="B677" s="134"/>
      <c r="C677" s="201" t="s">
        <v>247</v>
      </c>
      <c r="D677" s="182" t="s">
        <v>162</v>
      </c>
      <c r="E677" s="259" t="s">
        <v>970</v>
      </c>
      <c r="F677" s="316">
        <v>1</v>
      </c>
      <c r="G677" s="207">
        <f t="shared" si="123"/>
        <v>2971.41</v>
      </c>
      <c r="H677" s="187">
        <v>401</v>
      </c>
      <c r="I677" s="244"/>
      <c r="J677" s="244"/>
      <c r="K677" s="186">
        <f t="shared" si="124"/>
        <v>2971.41</v>
      </c>
      <c r="L677" s="321" t="e">
        <f t="shared" si="125"/>
        <v>#REF!</v>
      </c>
      <c r="M677" s="450"/>
      <c r="N677" s="131" t="e">
        <f>IF(ISNA(MATCH(C677,#REF!,0)),"",INDEX(#REF!,MATCH(C677,#REF!,0)))</f>
        <v>#REF!</v>
      </c>
      <c r="O677" s="114" t="e">
        <f>SUMIF(#REF!,C677,#REF!)</f>
        <v>#REF!</v>
      </c>
      <c r="P677" s="114" t="s">
        <v>43</v>
      </c>
    </row>
    <row r="678" spans="1:16" ht="26" x14ac:dyDescent="0.3">
      <c r="A678" s="50"/>
      <c r="B678" s="134"/>
      <c r="C678" s="201" t="s">
        <v>248</v>
      </c>
      <c r="D678" s="182" t="s">
        <v>1056</v>
      </c>
      <c r="E678" s="259" t="s">
        <v>971</v>
      </c>
      <c r="F678" s="316">
        <v>55</v>
      </c>
      <c r="G678" s="207">
        <f t="shared" si="123"/>
        <v>25.732909090909089</v>
      </c>
      <c r="H678" s="187">
        <v>191</v>
      </c>
      <c r="I678" s="244"/>
      <c r="J678" s="244"/>
      <c r="K678" s="186">
        <f t="shared" si="124"/>
        <v>1415.31</v>
      </c>
      <c r="L678" s="321" t="e">
        <f t="shared" si="125"/>
        <v>#REF!</v>
      </c>
      <c r="M678" s="450"/>
      <c r="N678" s="131" t="e">
        <f>IF(ISNA(MATCH(C678,#REF!,0)),"",INDEX(#REF!,MATCH(C678,#REF!,0)))</f>
        <v>#REF!</v>
      </c>
      <c r="O678" s="114" t="e">
        <f>SUMIF(#REF!,C678,#REF!)</f>
        <v>#REF!</v>
      </c>
      <c r="P678" s="114" t="s">
        <v>43</v>
      </c>
    </row>
    <row r="679" spans="1:16" x14ac:dyDescent="0.3">
      <c r="A679" s="50"/>
      <c r="B679" s="134"/>
      <c r="C679" s="201" t="s">
        <v>249</v>
      </c>
      <c r="D679" s="182" t="s">
        <v>164</v>
      </c>
      <c r="E679" s="259" t="s">
        <v>971</v>
      </c>
      <c r="F679" s="316">
        <v>20</v>
      </c>
      <c r="G679" s="207">
        <f t="shared" si="123"/>
        <v>1718.0084999999999</v>
      </c>
      <c r="H679" s="187">
        <v>4637</v>
      </c>
      <c r="I679" s="244"/>
      <c r="J679" s="244"/>
      <c r="K679" s="186">
        <f t="shared" si="124"/>
        <v>34360.17</v>
      </c>
      <c r="L679" s="321" t="e">
        <f t="shared" si="125"/>
        <v>#REF!</v>
      </c>
      <c r="M679" s="450"/>
      <c r="N679" s="131" t="e">
        <f>IF(ISNA(MATCH(C679,#REF!,0)),"",INDEX(#REF!,MATCH(C679,#REF!,0)))</f>
        <v>#REF!</v>
      </c>
      <c r="O679" s="114" t="e">
        <f>SUMIF(#REF!,C679,#REF!)</f>
        <v>#REF!</v>
      </c>
      <c r="P679" s="114" t="s">
        <v>43</v>
      </c>
    </row>
    <row r="680" spans="1:16" x14ac:dyDescent="0.3">
      <c r="A680" s="50"/>
      <c r="B680" s="134"/>
      <c r="C680" s="201" t="s">
        <v>250</v>
      </c>
      <c r="D680" s="182" t="s">
        <v>165</v>
      </c>
      <c r="E680" s="259" t="s">
        <v>971</v>
      </c>
      <c r="F680" s="316">
        <v>10</v>
      </c>
      <c r="G680" s="207">
        <f t="shared" si="123"/>
        <v>2978.8199999999997</v>
      </c>
      <c r="H680" s="187">
        <v>4020</v>
      </c>
      <c r="I680" s="244"/>
      <c r="J680" s="244"/>
      <c r="K680" s="186">
        <f t="shared" si="124"/>
        <v>29788.199999999997</v>
      </c>
      <c r="L680" s="321" t="e">
        <f t="shared" si="125"/>
        <v>#REF!</v>
      </c>
      <c r="M680" s="450"/>
      <c r="N680" s="131" t="e">
        <f>IF(ISNA(MATCH(C680,#REF!,0)),"",INDEX(#REF!,MATCH(C680,#REF!,0)))</f>
        <v>#REF!</v>
      </c>
      <c r="O680" s="114" t="e">
        <f>SUMIF(#REF!,C680,#REF!)</f>
        <v>#REF!</v>
      </c>
      <c r="P680" s="114" t="s">
        <v>43</v>
      </c>
    </row>
    <row r="681" spans="1:16" ht="26" x14ac:dyDescent="0.3">
      <c r="A681" s="50"/>
      <c r="B681" s="134"/>
      <c r="C681" s="201" t="s">
        <v>251</v>
      </c>
      <c r="D681" s="182" t="s">
        <v>163</v>
      </c>
      <c r="E681" s="259" t="s">
        <v>971</v>
      </c>
      <c r="F681" s="316">
        <v>280</v>
      </c>
      <c r="G681" s="207">
        <f t="shared" si="123"/>
        <v>31.99532142857143</v>
      </c>
      <c r="H681" s="187">
        <v>1209</v>
      </c>
      <c r="I681" s="244"/>
      <c r="J681" s="244"/>
      <c r="K681" s="186">
        <f t="shared" si="124"/>
        <v>8958.69</v>
      </c>
      <c r="L681" s="321" t="e">
        <f t="shared" si="125"/>
        <v>#REF!</v>
      </c>
      <c r="M681" s="450"/>
      <c r="N681" s="131" t="e">
        <f>IF(ISNA(MATCH(C681,#REF!,0)),"",INDEX(#REF!,MATCH(C681,#REF!,0)))</f>
        <v>#REF!</v>
      </c>
      <c r="O681" s="114" t="e">
        <f>SUMIF(#REF!,C681,#REF!)</f>
        <v>#REF!</v>
      </c>
      <c r="P681" s="114" t="s">
        <v>43</v>
      </c>
    </row>
    <row r="682" spans="1:16" x14ac:dyDescent="0.3">
      <c r="A682" s="50"/>
      <c r="B682" s="134"/>
      <c r="C682" s="201" t="s">
        <v>252</v>
      </c>
      <c r="D682" s="182" t="s">
        <v>166</v>
      </c>
      <c r="E682" s="259" t="s">
        <v>971</v>
      </c>
      <c r="F682" s="316">
        <v>90</v>
      </c>
      <c r="G682" s="207">
        <f t="shared" si="123"/>
        <v>42.895666666666664</v>
      </c>
      <c r="H682" s="187">
        <v>521</v>
      </c>
      <c r="I682" s="244"/>
      <c r="J682" s="244"/>
      <c r="K682" s="186">
        <f t="shared" si="124"/>
        <v>3860.6099999999997</v>
      </c>
      <c r="L682" s="321" t="e">
        <f t="shared" si="125"/>
        <v>#REF!</v>
      </c>
      <c r="M682" s="450"/>
      <c r="N682" s="131" t="e">
        <f>IF(ISNA(MATCH(C682,#REF!,0)),"",INDEX(#REF!,MATCH(C682,#REF!,0)))</f>
        <v>#REF!</v>
      </c>
      <c r="O682" s="114" t="e">
        <f>SUMIF(#REF!,C682,#REF!)</f>
        <v>#REF!</v>
      </c>
      <c r="P682" s="114" t="s">
        <v>43</v>
      </c>
    </row>
    <row r="683" spans="1:16" x14ac:dyDescent="0.3">
      <c r="A683" s="50"/>
      <c r="B683" s="134"/>
      <c r="C683" s="201" t="s">
        <v>253</v>
      </c>
      <c r="D683" s="182" t="s">
        <v>167</v>
      </c>
      <c r="E683" s="259" t="s">
        <v>971</v>
      </c>
      <c r="F683" s="316">
        <v>190</v>
      </c>
      <c r="G683" s="207">
        <f t="shared" si="123"/>
        <v>62.828999999999994</v>
      </c>
      <c r="H683" s="187">
        <v>1611</v>
      </c>
      <c r="I683" s="244"/>
      <c r="J683" s="244"/>
      <c r="K683" s="186">
        <f t="shared" si="124"/>
        <v>11937.509999999998</v>
      </c>
      <c r="L683" s="321" t="e">
        <f t="shared" si="125"/>
        <v>#REF!</v>
      </c>
      <c r="M683" s="450"/>
      <c r="N683" s="131" t="e">
        <f>IF(ISNA(MATCH(C683,#REF!,0)),"",INDEX(#REF!,MATCH(C683,#REF!,0)))</f>
        <v>#REF!</v>
      </c>
      <c r="O683" s="114" t="e">
        <f>SUMIF(#REF!,C683,#REF!)</f>
        <v>#REF!</v>
      </c>
      <c r="P683" s="114" t="s">
        <v>43</v>
      </c>
    </row>
    <row r="684" spans="1:16" x14ac:dyDescent="0.3">
      <c r="A684" s="50"/>
      <c r="B684" s="134"/>
      <c r="C684" s="201" t="s">
        <v>254</v>
      </c>
      <c r="D684" s="182" t="s">
        <v>168</v>
      </c>
      <c r="E684" s="259" t="s">
        <v>971</v>
      </c>
      <c r="F684" s="316">
        <v>20</v>
      </c>
      <c r="G684" s="207">
        <f t="shared" si="123"/>
        <v>78.545999999999992</v>
      </c>
      <c r="H684" s="187">
        <v>212</v>
      </c>
      <c r="I684" s="244"/>
      <c r="J684" s="244"/>
      <c r="K684" s="186">
        <f t="shared" si="124"/>
        <v>1570.9199999999998</v>
      </c>
      <c r="L684" s="321" t="e">
        <f t="shared" si="125"/>
        <v>#REF!</v>
      </c>
      <c r="M684" s="450"/>
      <c r="N684" s="131" t="e">
        <f>IF(ISNA(MATCH(C684,#REF!,0)),"",INDEX(#REF!,MATCH(C684,#REF!,0)))</f>
        <v>#REF!</v>
      </c>
      <c r="O684" s="114" t="e">
        <f>SUMIF(#REF!,C684,#REF!)</f>
        <v>#REF!</v>
      </c>
      <c r="P684" s="114" t="s">
        <v>43</v>
      </c>
    </row>
    <row r="685" spans="1:16" x14ac:dyDescent="0.3">
      <c r="A685" s="50"/>
      <c r="B685" s="134"/>
      <c r="C685" s="201" t="s">
        <v>255</v>
      </c>
      <c r="D685" s="182" t="s">
        <v>169</v>
      </c>
      <c r="E685" s="259" t="s">
        <v>971</v>
      </c>
      <c r="F685" s="316">
        <v>145</v>
      </c>
      <c r="G685" s="207">
        <f t="shared" si="123"/>
        <v>119.27544827586206</v>
      </c>
      <c r="H685" s="187">
        <v>2334</v>
      </c>
      <c r="I685" s="244"/>
      <c r="J685" s="244"/>
      <c r="K685" s="186">
        <f t="shared" si="124"/>
        <v>17294.939999999999</v>
      </c>
      <c r="L685" s="321" t="e">
        <f t="shared" si="125"/>
        <v>#REF!</v>
      </c>
      <c r="M685" s="450"/>
      <c r="N685" s="131" t="e">
        <f>IF(ISNA(MATCH(C685,#REF!,0)),"",INDEX(#REF!,MATCH(C685,#REF!,0)))</f>
        <v>#REF!</v>
      </c>
      <c r="O685" s="114" t="e">
        <f>SUMIF(#REF!,C685,#REF!)</f>
        <v>#REF!</v>
      </c>
      <c r="P685" s="114" t="s">
        <v>43</v>
      </c>
    </row>
    <row r="686" spans="1:16" x14ac:dyDescent="0.3">
      <c r="A686" s="50"/>
      <c r="B686" s="134"/>
      <c r="C686" s="201" t="s">
        <v>256</v>
      </c>
      <c r="D686" s="182" t="s">
        <v>170</v>
      </c>
      <c r="E686" s="259" t="s">
        <v>971</v>
      </c>
      <c r="F686" s="316">
        <v>120</v>
      </c>
      <c r="G686" s="207">
        <f t="shared" si="123"/>
        <v>138.19649999999999</v>
      </c>
      <c r="H686" s="187">
        <v>2238</v>
      </c>
      <c r="I686" s="244"/>
      <c r="J686" s="244"/>
      <c r="K686" s="186">
        <f t="shared" si="124"/>
        <v>16583.579999999998</v>
      </c>
      <c r="L686" s="321" t="e">
        <f t="shared" si="125"/>
        <v>#REF!</v>
      </c>
      <c r="M686" s="450"/>
      <c r="N686" s="131" t="e">
        <f>IF(ISNA(MATCH(C686,#REF!,0)),"",INDEX(#REF!,MATCH(C686,#REF!,0)))</f>
        <v>#REF!</v>
      </c>
      <c r="O686" s="114" t="e">
        <f>SUMIF(#REF!,C686,#REF!)</f>
        <v>#REF!</v>
      </c>
      <c r="P686" s="114" t="s">
        <v>43</v>
      </c>
    </row>
    <row r="687" spans="1:16" x14ac:dyDescent="0.3">
      <c r="A687" s="50"/>
      <c r="B687" s="134"/>
      <c r="C687" s="201" t="s">
        <v>257</v>
      </c>
      <c r="D687" s="182" t="s">
        <v>171</v>
      </c>
      <c r="E687" s="259" t="s">
        <v>971</v>
      </c>
      <c r="F687" s="316">
        <v>385</v>
      </c>
      <c r="G687" s="207">
        <f t="shared" si="123"/>
        <v>737.92051948051937</v>
      </c>
      <c r="H687" s="187">
        <v>38340</v>
      </c>
      <c r="I687" s="244"/>
      <c r="J687" s="244"/>
      <c r="K687" s="186">
        <f t="shared" si="124"/>
        <v>284099.39999999997</v>
      </c>
      <c r="L687" s="321" t="e">
        <f t="shared" si="125"/>
        <v>#REF!</v>
      </c>
      <c r="M687" s="450"/>
      <c r="N687" s="131" t="e">
        <f>IF(ISNA(MATCH(C687,#REF!,0)),"",INDEX(#REF!,MATCH(C687,#REF!,0)))</f>
        <v>#REF!</v>
      </c>
      <c r="O687" s="114" t="e">
        <f>SUMIF(#REF!,C687,#REF!)</f>
        <v>#REF!</v>
      </c>
      <c r="P687" s="114" t="s">
        <v>43</v>
      </c>
    </row>
    <row r="688" spans="1:16" x14ac:dyDescent="0.3">
      <c r="A688" s="50"/>
      <c r="B688" s="134"/>
      <c r="C688" s="201" t="s">
        <v>258</v>
      </c>
      <c r="D688" s="182" t="s">
        <v>172</v>
      </c>
      <c r="E688" s="259" t="s">
        <v>971</v>
      </c>
      <c r="F688" s="316">
        <v>330</v>
      </c>
      <c r="G688" s="207">
        <f t="shared" si="123"/>
        <v>2980.2795454545453</v>
      </c>
      <c r="H688" s="187">
        <v>132725</v>
      </c>
      <c r="I688" s="244"/>
      <c r="J688" s="244"/>
      <c r="K688" s="186">
        <f t="shared" si="124"/>
        <v>983492.25</v>
      </c>
      <c r="L688" s="321" t="e">
        <f t="shared" si="125"/>
        <v>#REF!</v>
      </c>
      <c r="M688" s="450"/>
      <c r="N688" s="131" t="e">
        <f>IF(ISNA(MATCH(C688,#REF!,0)),"",INDEX(#REF!,MATCH(C688,#REF!,0)))</f>
        <v>#REF!</v>
      </c>
      <c r="O688" s="114" t="e">
        <f>SUMIF(#REF!,C688,#REF!)</f>
        <v>#REF!</v>
      </c>
      <c r="P688" s="114" t="s">
        <v>43</v>
      </c>
    </row>
    <row r="689" spans="1:16" x14ac:dyDescent="0.3">
      <c r="A689" s="50"/>
      <c r="B689" s="134"/>
      <c r="C689" s="201" t="s">
        <v>259</v>
      </c>
      <c r="D689" s="182" t="s">
        <v>173</v>
      </c>
      <c r="E689" s="259" t="s">
        <v>971</v>
      </c>
      <c r="F689" s="316">
        <v>370</v>
      </c>
      <c r="G689" s="207">
        <f t="shared" si="123"/>
        <v>42.777729729729728</v>
      </c>
      <c r="H689" s="187">
        <v>2136</v>
      </c>
      <c r="I689" s="244"/>
      <c r="J689" s="244"/>
      <c r="K689" s="186">
        <f t="shared" si="124"/>
        <v>15827.76</v>
      </c>
      <c r="L689" s="321" t="e">
        <f t="shared" si="125"/>
        <v>#REF!</v>
      </c>
      <c r="M689" s="450"/>
      <c r="N689" s="131" t="e">
        <f>IF(ISNA(MATCH(C689,#REF!,0)),"",INDEX(#REF!,MATCH(C689,#REF!,0)))</f>
        <v>#REF!</v>
      </c>
      <c r="O689" s="114" t="e">
        <f>SUMIF(#REF!,C689,#REF!)</f>
        <v>#REF!</v>
      </c>
      <c r="P689" s="114" t="s">
        <v>43</v>
      </c>
    </row>
    <row r="690" spans="1:16" x14ac:dyDescent="0.3">
      <c r="A690" s="50"/>
      <c r="B690" s="134"/>
      <c r="C690" s="201" t="s">
        <v>260</v>
      </c>
      <c r="D690" s="182" t="s">
        <v>174</v>
      </c>
      <c r="E690" s="259" t="s">
        <v>971</v>
      </c>
      <c r="F690" s="316">
        <v>170</v>
      </c>
      <c r="G690" s="207">
        <f t="shared" si="123"/>
        <v>175.96570588235292</v>
      </c>
      <c r="H690" s="187">
        <v>4037</v>
      </c>
      <c r="I690" s="244"/>
      <c r="J690" s="244"/>
      <c r="K690" s="186">
        <f t="shared" si="124"/>
        <v>29914.169999999995</v>
      </c>
      <c r="L690" s="321" t="e">
        <f t="shared" si="125"/>
        <v>#REF!</v>
      </c>
      <c r="M690" s="450"/>
      <c r="N690" s="131" t="e">
        <f>IF(ISNA(MATCH(C690,#REF!,0)),"",INDEX(#REF!,MATCH(C690,#REF!,0)))</f>
        <v>#REF!</v>
      </c>
      <c r="O690" s="114" t="e">
        <f>SUMIF(#REF!,C690,#REF!)</f>
        <v>#REF!</v>
      </c>
      <c r="P690" s="114" t="s">
        <v>43</v>
      </c>
    </row>
    <row r="691" spans="1:16" ht="26" x14ac:dyDescent="0.3">
      <c r="A691" s="50"/>
      <c r="B691" s="134"/>
      <c r="C691" s="201" t="s">
        <v>261</v>
      </c>
      <c r="D691" s="182" t="s">
        <v>175</v>
      </c>
      <c r="E691" s="259" t="s">
        <v>971</v>
      </c>
      <c r="F691" s="316">
        <v>740</v>
      </c>
      <c r="G691" s="207">
        <f t="shared" si="123"/>
        <v>2767.5348648648646</v>
      </c>
      <c r="H691" s="187">
        <v>276380</v>
      </c>
      <c r="I691" s="244"/>
      <c r="J691" s="244"/>
      <c r="K691" s="186">
        <f t="shared" si="124"/>
        <v>2047975.7999999998</v>
      </c>
      <c r="L691" s="321" t="e">
        <f t="shared" si="125"/>
        <v>#REF!</v>
      </c>
      <c r="M691" s="450"/>
      <c r="N691" s="131" t="e">
        <f>IF(ISNA(MATCH(C691,#REF!,0)),"",INDEX(#REF!,MATCH(C691,#REF!,0)))</f>
        <v>#REF!</v>
      </c>
      <c r="O691" s="114" t="e">
        <f>SUMIF(#REF!,C691,#REF!)</f>
        <v>#REF!</v>
      </c>
      <c r="P691" s="114" t="s">
        <v>43</v>
      </c>
    </row>
    <row r="692" spans="1:16" x14ac:dyDescent="0.3">
      <c r="A692" s="50"/>
      <c r="B692" s="134"/>
      <c r="C692" s="201" t="s">
        <v>262</v>
      </c>
      <c r="D692" s="182" t="s">
        <v>93</v>
      </c>
      <c r="E692" s="259" t="s">
        <v>970</v>
      </c>
      <c r="F692" s="316">
        <f>6+8+6</f>
        <v>20</v>
      </c>
      <c r="G692" s="207">
        <f t="shared" si="123"/>
        <v>696.54</v>
      </c>
      <c r="H692" s="187">
        <f>501+829+550</f>
        <v>1880</v>
      </c>
      <c r="I692" s="244"/>
      <c r="J692" s="244"/>
      <c r="K692" s="186">
        <f t="shared" si="124"/>
        <v>13930.8</v>
      </c>
      <c r="L692" s="321" t="e">
        <f t="shared" si="125"/>
        <v>#REF!</v>
      </c>
      <c r="M692" s="450"/>
      <c r="N692" s="131" t="e">
        <f>IF(ISNA(MATCH(C692,#REF!,0)),"",INDEX(#REF!,MATCH(C692,#REF!,0)))</f>
        <v>#REF!</v>
      </c>
      <c r="O692" s="114" t="e">
        <f>SUMIF(#REF!,C692,#REF!)</f>
        <v>#REF!</v>
      </c>
      <c r="P692" s="114" t="s">
        <v>43</v>
      </c>
    </row>
    <row r="693" spans="1:16" ht="39" x14ac:dyDescent="0.3">
      <c r="A693" s="50"/>
      <c r="B693" s="134"/>
      <c r="C693" s="201" t="s">
        <v>263</v>
      </c>
      <c r="D693" s="182" t="s">
        <v>95</v>
      </c>
      <c r="E693" s="259" t="s">
        <v>971</v>
      </c>
      <c r="F693" s="316">
        <f>30+16+18</f>
        <v>64</v>
      </c>
      <c r="G693" s="207">
        <f t="shared" si="123"/>
        <v>141.48468750000001</v>
      </c>
      <c r="H693" s="187">
        <f>420+299+503</f>
        <v>1222</v>
      </c>
      <c r="I693" s="244"/>
      <c r="J693" s="244"/>
      <c r="K693" s="186">
        <f t="shared" si="124"/>
        <v>9055.02</v>
      </c>
      <c r="L693" s="321" t="e">
        <f t="shared" si="125"/>
        <v>#REF!</v>
      </c>
      <c r="M693" s="450"/>
      <c r="N693" s="131" t="e">
        <f>IF(ISNA(MATCH(C693,#REF!,0)),"",INDEX(#REF!,MATCH(C693,#REF!,0)))</f>
        <v>#REF!</v>
      </c>
      <c r="O693" s="114" t="e">
        <f>SUMIF(#REF!,C693,#REF!)</f>
        <v>#REF!</v>
      </c>
      <c r="P693" s="114" t="s">
        <v>43</v>
      </c>
    </row>
    <row r="694" spans="1:16" x14ac:dyDescent="0.3">
      <c r="A694" s="50"/>
      <c r="B694" s="134"/>
      <c r="C694" s="201" t="s">
        <v>264</v>
      </c>
      <c r="D694" s="182" t="s">
        <v>94</v>
      </c>
      <c r="E694" s="259" t="s">
        <v>970</v>
      </c>
      <c r="F694" s="316">
        <f>45+288+32+777</f>
        <v>1142</v>
      </c>
      <c r="G694" s="207">
        <f t="shared" si="123"/>
        <v>55.257057793345005</v>
      </c>
      <c r="H694" s="187">
        <f>378+3466+442+4230</f>
        <v>8516</v>
      </c>
      <c r="I694" s="244"/>
      <c r="J694" s="244"/>
      <c r="K694" s="186">
        <f t="shared" si="124"/>
        <v>63103.56</v>
      </c>
      <c r="L694" s="321" t="e">
        <f t="shared" si="125"/>
        <v>#REF!</v>
      </c>
      <c r="M694" s="450"/>
      <c r="N694" s="131" t="e">
        <f>IF(ISNA(MATCH(C694,#REF!,0)),"",INDEX(#REF!,MATCH(C694,#REF!,0)))</f>
        <v>#REF!</v>
      </c>
      <c r="O694" s="114" t="e">
        <f>SUMIF(#REF!,C694,#REF!)</f>
        <v>#REF!</v>
      </c>
      <c r="P694" s="114" t="s">
        <v>43</v>
      </c>
    </row>
    <row r="695" spans="1:16" x14ac:dyDescent="0.3">
      <c r="A695" s="50"/>
      <c r="B695" s="134"/>
      <c r="C695" s="201" t="s">
        <v>265</v>
      </c>
      <c r="D695" s="182" t="s">
        <v>96</v>
      </c>
      <c r="E695" s="259" t="s">
        <v>970</v>
      </c>
      <c r="F695" s="316">
        <f>175+11+6+11+7+2+500+12+41</f>
        <v>765</v>
      </c>
      <c r="G695" s="207">
        <f t="shared" si="123"/>
        <v>379.14015686274507</v>
      </c>
      <c r="H695" s="187">
        <f>25935+822+448+961+612+153+2862+1273+6076</f>
        <v>39142</v>
      </c>
      <c r="I695" s="244"/>
      <c r="J695" s="244"/>
      <c r="K695" s="186">
        <f t="shared" si="124"/>
        <v>290042.21999999997</v>
      </c>
      <c r="L695" s="321" t="e">
        <f t="shared" si="125"/>
        <v>#REF!</v>
      </c>
      <c r="M695" s="450"/>
      <c r="N695" s="131" t="e">
        <f>IF(ISNA(MATCH(C695,#REF!,0)),"",INDEX(#REF!,MATCH(C695,#REF!,0)))</f>
        <v>#REF!</v>
      </c>
      <c r="O695" s="114" t="e">
        <f>SUMIF(#REF!,C695,#REF!)</f>
        <v>#REF!</v>
      </c>
      <c r="P695" s="114" t="s">
        <v>43</v>
      </c>
    </row>
    <row r="696" spans="1:16" ht="39" x14ac:dyDescent="0.3">
      <c r="A696" s="50"/>
      <c r="B696" s="134"/>
      <c r="C696" s="201" t="s">
        <v>266</v>
      </c>
      <c r="D696" s="182" t="s">
        <v>97</v>
      </c>
      <c r="E696" s="200" t="s">
        <v>1036</v>
      </c>
      <c r="F696" s="316">
        <v>1</v>
      </c>
      <c r="G696" s="207">
        <f t="shared" si="123"/>
        <v>89957.4</v>
      </c>
      <c r="H696" s="187">
        <f>766+4050+29+193+38+990+1650+3960+329+136-1</f>
        <v>12140</v>
      </c>
      <c r="I696" s="244"/>
      <c r="J696" s="244"/>
      <c r="K696" s="186">
        <f t="shared" si="124"/>
        <v>89957.4</v>
      </c>
      <c r="L696" s="321" t="e">
        <f t="shared" si="125"/>
        <v>#REF!</v>
      </c>
      <c r="M696" s="450"/>
      <c r="N696" s="131" t="e">
        <f>IF(ISNA(MATCH(C696,#REF!,0)),"",INDEX(#REF!,MATCH(C696,#REF!,0)))</f>
        <v>#REF!</v>
      </c>
      <c r="O696" s="114" t="e">
        <f>SUMIF(#REF!,C696,#REF!)</f>
        <v>#REF!</v>
      </c>
      <c r="P696" s="114" t="s">
        <v>43</v>
      </c>
    </row>
    <row r="697" spans="1:16" ht="26" x14ac:dyDescent="0.3">
      <c r="A697" s="50"/>
      <c r="B697" s="128" t="s">
        <v>98</v>
      </c>
      <c r="C697" s="213" t="s">
        <v>267</v>
      </c>
      <c r="D697" s="60" t="s">
        <v>1756</v>
      </c>
      <c r="E697" s="214"/>
      <c r="F697" s="215"/>
      <c r="G697" s="211"/>
      <c r="H697" s="304">
        <f>SUM(H698:H703)</f>
        <v>145200</v>
      </c>
      <c r="I697" s="347"/>
      <c r="J697" s="347"/>
      <c r="K697" s="205">
        <f>SUM(K698:K703)</f>
        <v>1075932</v>
      </c>
      <c r="L697" s="205" t="e">
        <f>SUM(L698:L703)</f>
        <v>#REF!</v>
      </c>
      <c r="M697" s="450" t="s">
        <v>1164</v>
      </c>
      <c r="N697" s="136" t="e">
        <f>IF(ISNA(MATCH(C697,#REF!,0)),"",INDEX(#REF!,MATCH(C697,#REF!,0)))</f>
        <v>#REF!</v>
      </c>
      <c r="O697" s="137" t="e">
        <f>SUMIF(#REF!,C697,#REF!)</f>
        <v>#REF!</v>
      </c>
      <c r="P697" s="130" t="s">
        <v>44</v>
      </c>
    </row>
    <row r="698" spans="1:16" ht="39" x14ac:dyDescent="0.3">
      <c r="B698" s="134"/>
      <c r="C698" s="201" t="s">
        <v>268</v>
      </c>
      <c r="D698" s="182" t="s">
        <v>181</v>
      </c>
      <c r="E698" s="259" t="s">
        <v>948</v>
      </c>
      <c r="F698" s="316">
        <v>1.9</v>
      </c>
      <c r="G698" s="207">
        <f t="shared" ref="G698:G703" si="126">K698/F698</f>
        <v>65991.899999999994</v>
      </c>
      <c r="H698" s="187">
        <v>16921</v>
      </c>
      <c r="I698" s="244"/>
      <c r="J698" s="244"/>
      <c r="K698" s="186">
        <f t="shared" ref="K698:K703" si="127">H698*$C$4*$C$5</f>
        <v>125384.60999999999</v>
      </c>
      <c r="L698" s="321" t="e">
        <f t="shared" ref="L698:L703" si="128">IF(N698="поставка Заказчика",N698,K698)</f>
        <v>#REF!</v>
      </c>
      <c r="M698" s="450"/>
      <c r="N698" s="131" t="e">
        <f>IF(ISNA(MATCH(C698,#REF!,0)),"",INDEX(#REF!,MATCH(C698,#REF!,0)))</f>
        <v>#REF!</v>
      </c>
      <c r="O698" s="114" t="e">
        <f>SUMIF(#REF!,C698,#REF!)</f>
        <v>#REF!</v>
      </c>
      <c r="P698" s="114" t="s">
        <v>44</v>
      </c>
    </row>
    <row r="699" spans="1:16" ht="26" x14ac:dyDescent="0.3">
      <c r="B699" s="134"/>
      <c r="C699" s="201" t="s">
        <v>269</v>
      </c>
      <c r="D699" s="182" t="s">
        <v>182</v>
      </c>
      <c r="E699" s="259" t="s">
        <v>969</v>
      </c>
      <c r="F699" s="316">
        <v>3.4140000000000001</v>
      </c>
      <c r="G699" s="207">
        <f t="shared" si="126"/>
        <v>100232.51318101933</v>
      </c>
      <c r="H699" s="187">
        <f>14942+433+23668+743+4653+1741</f>
        <v>46180</v>
      </c>
      <c r="I699" s="244"/>
      <c r="J699" s="244"/>
      <c r="K699" s="186">
        <f t="shared" si="127"/>
        <v>342193.8</v>
      </c>
      <c r="L699" s="321" t="e">
        <f t="shared" si="128"/>
        <v>#REF!</v>
      </c>
      <c r="M699" s="450"/>
      <c r="N699" s="131" t="e">
        <f>IF(ISNA(MATCH(C699,#REF!,0)),"",INDEX(#REF!,MATCH(C699,#REF!,0)))</f>
        <v>#REF!</v>
      </c>
      <c r="O699" s="114" t="e">
        <f>SUMIF(#REF!,C699,#REF!)</f>
        <v>#REF!</v>
      </c>
      <c r="P699" s="114" t="s">
        <v>44</v>
      </c>
    </row>
    <row r="700" spans="1:16" ht="26" x14ac:dyDescent="0.3">
      <c r="B700" s="134"/>
      <c r="C700" s="201" t="s">
        <v>270</v>
      </c>
      <c r="D700" s="182" t="s">
        <v>183</v>
      </c>
      <c r="E700" s="259" t="s">
        <v>969</v>
      </c>
      <c r="F700" s="316">
        <v>4.1970000000000001</v>
      </c>
      <c r="G700" s="207">
        <f t="shared" si="126"/>
        <v>120404.99642601857</v>
      </c>
      <c r="H700" s="187">
        <f>37194+30982+21</f>
        <v>68197</v>
      </c>
      <c r="I700" s="244"/>
      <c r="J700" s="244"/>
      <c r="K700" s="186">
        <f t="shared" si="127"/>
        <v>505339.7699999999</v>
      </c>
      <c r="L700" s="321" t="e">
        <f t="shared" si="128"/>
        <v>#REF!</v>
      </c>
      <c r="M700" s="450"/>
      <c r="N700" s="131" t="e">
        <f>IF(ISNA(MATCH(C700,#REF!,0)),"",INDEX(#REF!,MATCH(C700,#REF!,0)))</f>
        <v>#REF!</v>
      </c>
      <c r="O700" s="114" t="e">
        <f>SUMIF(#REF!,C700,#REF!)</f>
        <v>#REF!</v>
      </c>
      <c r="P700" s="114" t="s">
        <v>44</v>
      </c>
    </row>
    <row r="701" spans="1:16" ht="26" x14ac:dyDescent="0.3">
      <c r="B701" s="134"/>
      <c r="C701" s="201" t="s">
        <v>271</v>
      </c>
      <c r="D701" s="182" t="s">
        <v>829</v>
      </c>
      <c r="E701" s="259" t="s">
        <v>720</v>
      </c>
      <c r="F701" s="316">
        <v>148.499</v>
      </c>
      <c r="G701" s="207">
        <f t="shared" si="126"/>
        <v>236.72240217105841</v>
      </c>
      <c r="H701" s="187">
        <f>3506+433+805</f>
        <v>4744</v>
      </c>
      <c r="I701" s="244"/>
      <c r="J701" s="244"/>
      <c r="K701" s="186">
        <f t="shared" si="127"/>
        <v>35153.040000000001</v>
      </c>
      <c r="L701" s="321" t="e">
        <f t="shared" si="128"/>
        <v>#REF!</v>
      </c>
      <c r="M701" s="450"/>
      <c r="N701" s="131" t="e">
        <f>IF(ISNA(MATCH(C701,#REF!,0)),"",INDEX(#REF!,MATCH(C701,#REF!,0)))</f>
        <v>#REF!</v>
      </c>
      <c r="O701" s="114" t="e">
        <f>SUMIF(#REF!,C701,#REF!)</f>
        <v>#REF!</v>
      </c>
      <c r="P701" s="114" t="s">
        <v>44</v>
      </c>
    </row>
    <row r="702" spans="1:16" ht="26" x14ac:dyDescent="0.3">
      <c r="B702" s="134"/>
      <c r="C702" s="201" t="s">
        <v>272</v>
      </c>
      <c r="D702" s="182" t="s">
        <v>832</v>
      </c>
      <c r="E702" s="259" t="s">
        <v>977</v>
      </c>
      <c r="F702" s="316">
        <f>1.485+3.259</f>
        <v>4.7439999999999998</v>
      </c>
      <c r="G702" s="207">
        <f t="shared" si="126"/>
        <v>3072.400927487352</v>
      </c>
      <c r="H702" s="187">
        <f>576+1391</f>
        <v>1967</v>
      </c>
      <c r="I702" s="244"/>
      <c r="J702" s="244"/>
      <c r="K702" s="186">
        <f t="shared" si="127"/>
        <v>14575.469999999998</v>
      </c>
      <c r="L702" s="321" t="e">
        <f t="shared" si="128"/>
        <v>#REF!</v>
      </c>
      <c r="M702" s="450"/>
      <c r="N702" s="131" t="e">
        <f>IF(ISNA(MATCH(C702,#REF!,0)),"",INDEX(#REF!,MATCH(C702,#REF!,0)))</f>
        <v>#REF!</v>
      </c>
      <c r="O702" s="114" t="e">
        <f>SUMIF(#REF!,C702,#REF!)</f>
        <v>#REF!</v>
      </c>
      <c r="P702" s="114" t="s">
        <v>44</v>
      </c>
    </row>
    <row r="703" spans="1:16" ht="26" x14ac:dyDescent="0.3">
      <c r="B703" s="134"/>
      <c r="C703" s="201" t="s">
        <v>273</v>
      </c>
      <c r="D703" s="182" t="s">
        <v>184</v>
      </c>
      <c r="E703" s="259" t="s">
        <v>977</v>
      </c>
      <c r="F703" s="316">
        <f>1.485+3.259</f>
        <v>4.7439999999999998</v>
      </c>
      <c r="G703" s="207">
        <f t="shared" si="126"/>
        <v>11232.14797639123</v>
      </c>
      <c r="H703" s="187">
        <f>2106+5084+1</f>
        <v>7191</v>
      </c>
      <c r="I703" s="244"/>
      <c r="J703" s="244"/>
      <c r="K703" s="186">
        <f t="shared" si="127"/>
        <v>53285.31</v>
      </c>
      <c r="L703" s="321" t="e">
        <f t="shared" si="128"/>
        <v>#REF!</v>
      </c>
      <c r="M703" s="450"/>
      <c r="N703" s="131" t="e">
        <f>IF(ISNA(MATCH(C703,#REF!,0)),"",INDEX(#REF!,MATCH(C703,#REF!,0)))</f>
        <v>#REF!</v>
      </c>
      <c r="O703" s="114" t="e">
        <f>SUMIF(#REF!,C703,#REF!)</f>
        <v>#REF!</v>
      </c>
      <c r="P703" s="114" t="s">
        <v>44</v>
      </c>
    </row>
    <row r="704" spans="1:16" x14ac:dyDescent="0.3">
      <c r="B704" s="128" t="s">
        <v>185</v>
      </c>
      <c r="C704" s="213" t="s">
        <v>274</v>
      </c>
      <c r="D704" s="60" t="s">
        <v>186</v>
      </c>
      <c r="E704" s="214"/>
      <c r="F704" s="215"/>
      <c r="G704" s="211"/>
      <c r="H704" s="304">
        <f>H705+H707+H709+H712</f>
        <v>515651</v>
      </c>
      <c r="I704" s="347"/>
      <c r="J704" s="347"/>
      <c r="K704" s="205">
        <f>K705+K707+K709+K712</f>
        <v>3820973.9099999997</v>
      </c>
      <c r="L704" s="205" t="e">
        <f>L705+L707+L709+L712</f>
        <v>#REF!</v>
      </c>
      <c r="M704" s="450" t="s">
        <v>1164</v>
      </c>
      <c r="N704" s="136" t="e">
        <f>IF(ISNA(MATCH(C704,#REF!,0)),"",INDEX(#REF!,MATCH(C704,#REF!,0)))</f>
        <v>#REF!</v>
      </c>
      <c r="O704" s="137" t="e">
        <f>SUMIF(#REF!,C704,#REF!)</f>
        <v>#REF!</v>
      </c>
      <c r="P704" s="130" t="s">
        <v>45</v>
      </c>
    </row>
    <row r="705" spans="1:16" x14ac:dyDescent="0.3">
      <c r="A705" s="50"/>
      <c r="B705" s="134"/>
      <c r="C705" s="216" t="s">
        <v>275</v>
      </c>
      <c r="D705" s="232" t="s">
        <v>187</v>
      </c>
      <c r="E705" s="233"/>
      <c r="F705" s="234"/>
      <c r="G705" s="235"/>
      <c r="H705" s="301">
        <f>SUM(H706:H706)</f>
        <v>152</v>
      </c>
      <c r="I705" s="343"/>
      <c r="J705" s="343"/>
      <c r="K705" s="236">
        <f>SUM(K706:K706)</f>
        <v>1126.3199999999997</v>
      </c>
      <c r="L705" s="236" t="e">
        <f>SUM(L706:L706)</f>
        <v>#REF!</v>
      </c>
      <c r="M705" s="450"/>
      <c r="N705" s="126" t="e">
        <f>IF(ISNA(MATCH(C705,#REF!,0)),"",INDEX(#REF!,MATCH(C705,#REF!,0)))</f>
        <v>#REF!</v>
      </c>
      <c r="O705" s="127" t="e">
        <f>SUMIF(#REF!,C705,#REF!)</f>
        <v>#REF!</v>
      </c>
      <c r="P705" s="127" t="s">
        <v>45</v>
      </c>
    </row>
    <row r="706" spans="1:16" ht="26" x14ac:dyDescent="0.3">
      <c r="B706" s="134"/>
      <c r="C706" s="201" t="s">
        <v>276</v>
      </c>
      <c r="D706" s="182" t="s">
        <v>188</v>
      </c>
      <c r="E706" s="200" t="s">
        <v>189</v>
      </c>
      <c r="F706" s="316">
        <v>3.6</v>
      </c>
      <c r="G706" s="207">
        <f>K706/F706</f>
        <v>312.86666666666656</v>
      </c>
      <c r="H706" s="243">
        <v>152</v>
      </c>
      <c r="I706" s="354"/>
      <c r="J706" s="354"/>
      <c r="K706" s="186">
        <f>H706*$C$4*$C$5</f>
        <v>1126.3199999999997</v>
      </c>
      <c r="L706" s="321" t="e">
        <f>IF(N706="поставка Заказчика",N706,K706)</f>
        <v>#REF!</v>
      </c>
      <c r="M706" s="450"/>
      <c r="N706" s="131" t="e">
        <f>IF(ISNA(MATCH(C706,#REF!,0)),"",INDEX(#REF!,MATCH(C706,#REF!,0)))</f>
        <v>#REF!</v>
      </c>
      <c r="O706" s="114" t="e">
        <f>SUMIF(#REF!,C706,#REF!)</f>
        <v>#REF!</v>
      </c>
      <c r="P706" s="114" t="s">
        <v>45</v>
      </c>
    </row>
    <row r="707" spans="1:16" x14ac:dyDescent="0.3">
      <c r="A707" s="50"/>
      <c r="B707" s="134"/>
      <c r="C707" s="216" t="s">
        <v>277</v>
      </c>
      <c r="D707" s="232" t="s">
        <v>1757</v>
      </c>
      <c r="E707" s="233"/>
      <c r="F707" s="234"/>
      <c r="G707" s="235"/>
      <c r="H707" s="301">
        <f>SUM(H708:H708)</f>
        <v>2699</v>
      </c>
      <c r="I707" s="343"/>
      <c r="J707" s="343"/>
      <c r="K707" s="236">
        <f>SUM(K708:K708)</f>
        <v>19999.589999999997</v>
      </c>
      <c r="L707" s="236" t="e">
        <f>SUM(L708:L708)</f>
        <v>#REF!</v>
      </c>
      <c r="M707" s="450"/>
      <c r="N707" s="126" t="e">
        <f>IF(ISNA(MATCH(C707,#REF!,0)),"",INDEX(#REF!,MATCH(C707,#REF!,0)))</f>
        <v>#REF!</v>
      </c>
      <c r="O707" s="127" t="e">
        <f>SUMIF(#REF!,C707,#REF!)</f>
        <v>#REF!</v>
      </c>
      <c r="P707" s="127" t="s">
        <v>45</v>
      </c>
    </row>
    <row r="708" spans="1:16" ht="26" x14ac:dyDescent="0.3">
      <c r="B708" s="134"/>
      <c r="C708" s="201" t="s">
        <v>278</v>
      </c>
      <c r="D708" s="58" t="s">
        <v>190</v>
      </c>
      <c r="E708" s="200" t="s">
        <v>157</v>
      </c>
      <c r="F708" s="316">
        <v>0.01</v>
      </c>
      <c r="G708" s="207">
        <f>K708/F708</f>
        <v>1999958.9999999995</v>
      </c>
      <c r="H708" s="243">
        <f>1060+595+1044</f>
        <v>2699</v>
      </c>
      <c r="I708" s="354"/>
      <c r="J708" s="354"/>
      <c r="K708" s="186">
        <f>H708*$C$4*$C$5</f>
        <v>19999.589999999997</v>
      </c>
      <c r="L708" s="321" t="e">
        <f>IF(N708="поставка Заказчика",N708,K708)</f>
        <v>#REF!</v>
      </c>
      <c r="M708" s="450"/>
      <c r="N708" s="131" t="e">
        <f>IF(ISNA(MATCH(C708,#REF!,0)),"",INDEX(#REF!,MATCH(C708,#REF!,0)))</f>
        <v>#REF!</v>
      </c>
      <c r="O708" s="114" t="e">
        <f>SUMIF(#REF!,C708,#REF!)</f>
        <v>#REF!</v>
      </c>
      <c r="P708" s="114" t="s">
        <v>45</v>
      </c>
    </row>
    <row r="709" spans="1:16" x14ac:dyDescent="0.3">
      <c r="A709" s="50"/>
      <c r="B709" s="134"/>
      <c r="C709" s="216" t="s">
        <v>279</v>
      </c>
      <c r="D709" s="232" t="s">
        <v>191</v>
      </c>
      <c r="E709" s="233"/>
      <c r="F709" s="234"/>
      <c r="G709" s="235"/>
      <c r="H709" s="301">
        <f>SUM(H710:H711)</f>
        <v>54074</v>
      </c>
      <c r="I709" s="343"/>
      <c r="J709" s="343"/>
      <c r="K709" s="236">
        <f>SUM(K710:K711)</f>
        <v>400688.33999999997</v>
      </c>
      <c r="L709" s="236" t="e">
        <f>SUM(L710:L711)</f>
        <v>#REF!</v>
      </c>
      <c r="M709" s="450"/>
      <c r="N709" s="126" t="e">
        <f>IF(ISNA(MATCH(C709,#REF!,0)),"",INDEX(#REF!,MATCH(C709,#REF!,0)))</f>
        <v>#REF!</v>
      </c>
      <c r="O709" s="127" t="e">
        <f>SUMIF(#REF!,C709,#REF!)</f>
        <v>#REF!</v>
      </c>
      <c r="P709" s="127" t="s">
        <v>45</v>
      </c>
    </row>
    <row r="710" spans="1:16" ht="39" x14ac:dyDescent="0.3">
      <c r="B710" s="134"/>
      <c r="C710" s="201" t="s">
        <v>280</v>
      </c>
      <c r="D710" s="58" t="s">
        <v>192</v>
      </c>
      <c r="E710" s="200" t="s">
        <v>720</v>
      </c>
      <c r="F710" s="316">
        <v>10</v>
      </c>
      <c r="G710" s="207">
        <f>K710/F710</f>
        <v>3599.0369999999994</v>
      </c>
      <c r="H710" s="187">
        <f>217+3967+59+560+29+24+1</f>
        <v>4857</v>
      </c>
      <c r="I710" s="244"/>
      <c r="J710" s="244"/>
      <c r="K710" s="186">
        <f>H710*$C$4*$C$5</f>
        <v>35990.369999999995</v>
      </c>
      <c r="L710" s="321" t="e">
        <f>IF(N710="поставка Заказчика",N710,K710)</f>
        <v>#REF!</v>
      </c>
      <c r="M710" s="450"/>
      <c r="N710" s="131" t="e">
        <f>IF(ISNA(MATCH(C710,#REF!,0)),"",INDEX(#REF!,MATCH(C710,#REF!,0)))</f>
        <v>#REF!</v>
      </c>
      <c r="O710" s="114" t="e">
        <f>SUMIF(#REF!,C710,#REF!)</f>
        <v>#REF!</v>
      </c>
      <c r="P710" s="114" t="s">
        <v>45</v>
      </c>
    </row>
    <row r="711" spans="1:16" ht="52" x14ac:dyDescent="0.3">
      <c r="B711" s="134"/>
      <c r="C711" s="201" t="s">
        <v>281</v>
      </c>
      <c r="D711" s="58" t="s">
        <v>193</v>
      </c>
      <c r="E711" s="200" t="s">
        <v>969</v>
      </c>
      <c r="F711" s="316">
        <v>31.35</v>
      </c>
      <c r="G711" s="207">
        <f>K711/F711</f>
        <v>11633.109090909089</v>
      </c>
      <c r="H711" s="243">
        <f>185+157+12+20+47327+251+1218+17+28+1+1</f>
        <v>49217</v>
      </c>
      <c r="I711" s="354"/>
      <c r="J711" s="354"/>
      <c r="K711" s="186">
        <f>H711*$C$4*$C$5</f>
        <v>364697.97</v>
      </c>
      <c r="L711" s="321" t="e">
        <f>IF(N711="поставка Заказчика",N711,K711)</f>
        <v>#REF!</v>
      </c>
      <c r="M711" s="450"/>
      <c r="N711" s="131" t="e">
        <f>IF(ISNA(MATCH(C711,#REF!,0)),"",INDEX(#REF!,MATCH(C711,#REF!,0)))</f>
        <v>#REF!</v>
      </c>
      <c r="O711" s="114" t="e">
        <f>SUMIF(#REF!,C711,#REF!)</f>
        <v>#REF!</v>
      </c>
      <c r="P711" s="114" t="s">
        <v>45</v>
      </c>
    </row>
    <row r="712" spans="1:16" x14ac:dyDescent="0.3">
      <c r="A712" s="50"/>
      <c r="B712" s="134"/>
      <c r="C712" s="216" t="s">
        <v>282</v>
      </c>
      <c r="D712" s="232" t="s">
        <v>194</v>
      </c>
      <c r="E712" s="233"/>
      <c r="F712" s="234"/>
      <c r="G712" s="235"/>
      <c r="H712" s="301">
        <f>SUM(H713:H717)</f>
        <v>458726</v>
      </c>
      <c r="I712" s="343"/>
      <c r="J712" s="343"/>
      <c r="K712" s="236">
        <f>SUM(K713:K717)</f>
        <v>3399159.6599999997</v>
      </c>
      <c r="L712" s="236" t="e">
        <f>SUM(L713:L717)</f>
        <v>#REF!</v>
      </c>
      <c r="M712" s="450"/>
      <c r="N712" s="126" t="e">
        <f>IF(ISNA(MATCH(C712,#REF!,0)),"",INDEX(#REF!,MATCH(C712,#REF!,0)))</f>
        <v>#REF!</v>
      </c>
      <c r="O712" s="127" t="e">
        <f>SUMIF(#REF!,C712,#REF!)</f>
        <v>#REF!</v>
      </c>
      <c r="P712" s="127" t="s">
        <v>45</v>
      </c>
    </row>
    <row r="713" spans="1:16" ht="26" x14ac:dyDescent="0.3">
      <c r="B713" s="134"/>
      <c r="C713" s="201" t="s">
        <v>283</v>
      </c>
      <c r="D713" s="58" t="s">
        <v>195</v>
      </c>
      <c r="E713" s="200" t="s">
        <v>196</v>
      </c>
      <c r="F713" s="316">
        <v>155</v>
      </c>
      <c r="G713" s="207">
        <f>K713/F713</f>
        <v>1610.5993548387096</v>
      </c>
      <c r="H713" s="187">
        <f>1408+32283-1</f>
        <v>33690</v>
      </c>
      <c r="I713" s="244"/>
      <c r="J713" s="244"/>
      <c r="K713" s="186">
        <f>H713*$C$4*$C$5</f>
        <v>249642.9</v>
      </c>
      <c r="L713" s="321" t="e">
        <f>IF(N713="поставка Заказчика",N713,K713)</f>
        <v>#REF!</v>
      </c>
      <c r="M713" s="450"/>
      <c r="N713" s="131" t="e">
        <f>IF(ISNA(MATCH(C713,#REF!,0)),"",INDEX(#REF!,MATCH(C713,#REF!,0)))</f>
        <v>#REF!</v>
      </c>
      <c r="O713" s="114" t="e">
        <f>SUMIF(#REF!,C713,#REF!)</f>
        <v>#REF!</v>
      </c>
      <c r="P713" s="114" t="s">
        <v>45</v>
      </c>
    </row>
    <row r="714" spans="1:16" ht="26" x14ac:dyDescent="0.3">
      <c r="B714" s="134"/>
      <c r="C714" s="201" t="s">
        <v>284</v>
      </c>
      <c r="D714" s="58" t="s">
        <v>197</v>
      </c>
      <c r="E714" s="200" t="s">
        <v>826</v>
      </c>
      <c r="F714" s="316">
        <v>2.25</v>
      </c>
      <c r="G714" s="207">
        <f>K714/F714</f>
        <v>212729.5733333333</v>
      </c>
      <c r="H714" s="243">
        <f>64594</f>
        <v>64594</v>
      </c>
      <c r="I714" s="354"/>
      <c r="J714" s="354"/>
      <c r="K714" s="186">
        <f>H714*$C$4*$C$5</f>
        <v>478641.53999999992</v>
      </c>
      <c r="L714" s="321" t="e">
        <f>IF(N714="поставка Заказчика",N714,K714)</f>
        <v>#REF!</v>
      </c>
      <c r="M714" s="450"/>
      <c r="N714" s="131" t="e">
        <f>IF(ISNA(MATCH(C714,#REF!,0)),"",INDEX(#REF!,MATCH(C714,#REF!,0)))</f>
        <v>#REF!</v>
      </c>
      <c r="O714" s="114" t="e">
        <f>SUMIF(#REF!,C714,#REF!)</f>
        <v>#REF!</v>
      </c>
      <c r="P714" s="114" t="s">
        <v>45</v>
      </c>
    </row>
    <row r="715" spans="1:16" ht="26" x14ac:dyDescent="0.3">
      <c r="B715" s="134"/>
      <c r="C715" s="201" t="s">
        <v>285</v>
      </c>
      <c r="D715" s="58" t="s">
        <v>198</v>
      </c>
      <c r="E715" s="200" t="s">
        <v>189</v>
      </c>
      <c r="F715" s="316">
        <v>1.04</v>
      </c>
      <c r="G715" s="207">
        <f>K715/F715</f>
        <v>178709.24999999997</v>
      </c>
      <c r="H715" s="243">
        <f>18973+6109</f>
        <v>25082</v>
      </c>
      <c r="I715" s="354"/>
      <c r="J715" s="354"/>
      <c r="K715" s="186">
        <f>H715*$C$4*$C$5</f>
        <v>185857.61999999997</v>
      </c>
      <c r="L715" s="321" t="e">
        <f>IF(N715="поставка Заказчика",N715,K715)</f>
        <v>#REF!</v>
      </c>
      <c r="M715" s="450"/>
      <c r="N715" s="131" t="e">
        <f>IF(ISNA(MATCH(C715,#REF!,0)),"",INDEX(#REF!,MATCH(C715,#REF!,0)))</f>
        <v>#REF!</v>
      </c>
      <c r="O715" s="114" t="e">
        <f>SUMIF(#REF!,C715,#REF!)</f>
        <v>#REF!</v>
      </c>
      <c r="P715" s="114" t="s">
        <v>45</v>
      </c>
    </row>
    <row r="716" spans="1:16" ht="39" x14ac:dyDescent="0.3">
      <c r="B716" s="134"/>
      <c r="C716" s="201" t="s">
        <v>286</v>
      </c>
      <c r="D716" s="58" t="s">
        <v>199</v>
      </c>
      <c r="E716" s="200" t="s">
        <v>189</v>
      </c>
      <c r="F716" s="316">
        <v>0.05</v>
      </c>
      <c r="G716" s="207">
        <f>K716/F716</f>
        <v>1261033.7999999996</v>
      </c>
      <c r="H716" s="243">
        <f>2865+6034-209-181</f>
        <v>8509</v>
      </c>
      <c r="I716" s="354"/>
      <c r="J716" s="354"/>
      <c r="K716" s="186">
        <f>H716*$C$4*$C$5</f>
        <v>63051.689999999988</v>
      </c>
      <c r="L716" s="321" t="e">
        <f>IF(N716="поставка Заказчика",N716,K716)</f>
        <v>#REF!</v>
      </c>
      <c r="M716" s="450"/>
      <c r="N716" s="131" t="e">
        <f>IF(ISNA(MATCH(C716,#REF!,0)),"",INDEX(#REF!,MATCH(C716,#REF!,0)))</f>
        <v>#REF!</v>
      </c>
      <c r="O716" s="114" t="e">
        <f>SUMIF(#REF!,C716,#REF!)</f>
        <v>#REF!</v>
      </c>
      <c r="P716" s="114" t="s">
        <v>45</v>
      </c>
    </row>
    <row r="717" spans="1:16" ht="39" x14ac:dyDescent="0.3">
      <c r="B717" s="134"/>
      <c r="C717" s="201" t="s">
        <v>287</v>
      </c>
      <c r="D717" s="58" t="s">
        <v>110</v>
      </c>
      <c r="E717" s="200" t="s">
        <v>1176</v>
      </c>
      <c r="F717" s="316">
        <v>144.47999999999999</v>
      </c>
      <c r="G717" s="207">
        <f>K717/F717</f>
        <v>16763.329941860466</v>
      </c>
      <c r="H717" s="243">
        <f>28319+298532</f>
        <v>326851</v>
      </c>
      <c r="I717" s="354"/>
      <c r="J717" s="354"/>
      <c r="K717" s="186">
        <f>H717*$C$4*$C$5</f>
        <v>2421965.9099999997</v>
      </c>
      <c r="L717" s="321" t="e">
        <f>IF(N717="поставка Заказчика",N717,K717)</f>
        <v>#REF!</v>
      </c>
      <c r="M717" s="450"/>
      <c r="N717" s="131" t="e">
        <f>IF(ISNA(MATCH(C717,#REF!,0)),"",INDEX(#REF!,MATCH(C717,#REF!,0)))</f>
        <v>#REF!</v>
      </c>
      <c r="O717" s="114" t="e">
        <f>SUMIF(#REF!,C717,#REF!)</f>
        <v>#REF!</v>
      </c>
      <c r="P717" s="114" t="s">
        <v>45</v>
      </c>
    </row>
    <row r="718" spans="1:16" x14ac:dyDescent="0.3">
      <c r="B718" s="128" t="s">
        <v>853</v>
      </c>
      <c r="C718" s="213" t="s">
        <v>288</v>
      </c>
      <c r="D718" s="60" t="s">
        <v>1758</v>
      </c>
      <c r="E718" s="214"/>
      <c r="F718" s="215"/>
      <c r="G718" s="211"/>
      <c r="H718" s="304">
        <f>H815</f>
        <v>596848</v>
      </c>
      <c r="I718" s="347"/>
      <c r="J718" s="347"/>
      <c r="K718" s="205">
        <f>K815</f>
        <v>4422643.6799999988</v>
      </c>
      <c r="L718" s="205" t="e">
        <f>L815</f>
        <v>#REF!</v>
      </c>
      <c r="M718" s="450" t="s">
        <v>1164</v>
      </c>
      <c r="N718" s="136" t="e">
        <f>IF(ISNA(MATCH(C718,#REF!,0)),"",INDEX(#REF!,MATCH(C718,#REF!,0)))</f>
        <v>#REF!</v>
      </c>
      <c r="O718" s="137" t="e">
        <f>SUMIF(#REF!,C718,#REF!)</f>
        <v>#REF!</v>
      </c>
      <c r="P718" s="130" t="s">
        <v>46</v>
      </c>
    </row>
    <row r="719" spans="1:16" ht="13.5" x14ac:dyDescent="0.3">
      <c r="B719" s="148"/>
      <c r="C719" s="262"/>
      <c r="D719" s="161" t="s">
        <v>1707</v>
      </c>
      <c r="E719" s="267"/>
      <c r="F719" s="263"/>
      <c r="G719" s="264"/>
      <c r="H719" s="310"/>
      <c r="I719" s="360"/>
      <c r="J719" s="360"/>
      <c r="K719" s="265"/>
      <c r="L719" s="265" t="e">
        <f>K719-O719</f>
        <v>#REF!</v>
      </c>
      <c r="M719" s="450"/>
      <c r="N719" s="157" t="e">
        <f>IF(ISNA(MATCH(C719,#REF!,0)),"",INDEX(#REF!,MATCH(C719,#REF!,0)))</f>
        <v>#REF!</v>
      </c>
      <c r="O719" s="158" t="e">
        <f>SUMIF(#REF!,C719,#REF!)</f>
        <v>#REF!</v>
      </c>
      <c r="P719" s="158" t="s">
        <v>46</v>
      </c>
    </row>
    <row r="720" spans="1:16" ht="26" x14ac:dyDescent="0.3">
      <c r="B720" s="591"/>
      <c r="C720" s="596" t="s">
        <v>590</v>
      </c>
      <c r="D720" s="163" t="s">
        <v>854</v>
      </c>
      <c r="E720" s="275" t="s">
        <v>970</v>
      </c>
      <c r="F720" s="464">
        <v>1</v>
      </c>
      <c r="G720" s="240" t="str">
        <f t="shared" ref="G720:G739" si="129">IF(ISERR(L720/F720),"",K720/F720)</f>
        <v/>
      </c>
      <c r="H720" s="258">
        <v>270</v>
      </c>
      <c r="I720" s="359">
        <f t="shared" ref="I720:I739" si="130">H720/1.0997</f>
        <v>245.52150586523601</v>
      </c>
      <c r="J720" s="359">
        <f t="shared" ref="J720:J739" si="131">I720/F720</f>
        <v>245.52150586523601</v>
      </c>
      <c r="K720" s="322">
        <f t="shared" ref="K720:K739" si="132">H720*$C$6</f>
        <v>907.19999999999993</v>
      </c>
      <c r="L720" s="323" t="e">
        <f>IF(N720="Заказчика",N720,INDEX(#REF!,MATCH(C720,#REF!,0)))</f>
        <v>#REF!</v>
      </c>
      <c r="M720" s="450"/>
      <c r="N720" s="145" t="e">
        <f>IF(ISNA(MATCH(C720,#REF!,0)),"",INDEX(#REF!,MATCH(C720,#REF!,0)))</f>
        <v>#REF!</v>
      </c>
      <c r="O720" s="146" t="e">
        <f>SUMIF(#REF!,C720,#REF!)</f>
        <v>#REF!</v>
      </c>
      <c r="P720" s="146" t="s">
        <v>46</v>
      </c>
    </row>
    <row r="721" spans="2:16" ht="26" x14ac:dyDescent="0.3">
      <c r="B721" s="591"/>
      <c r="C721" s="596" t="s">
        <v>591</v>
      </c>
      <c r="D721" s="163" t="s">
        <v>855</v>
      </c>
      <c r="E721" s="275" t="s">
        <v>970</v>
      </c>
      <c r="F721" s="464">
        <v>2</v>
      </c>
      <c r="G721" s="240" t="str">
        <f t="shared" si="129"/>
        <v/>
      </c>
      <c r="H721" s="258">
        <v>1784</v>
      </c>
      <c r="I721" s="359">
        <f t="shared" si="130"/>
        <v>1622.2606165317816</v>
      </c>
      <c r="J721" s="359">
        <f t="shared" si="131"/>
        <v>811.13030826589079</v>
      </c>
      <c r="K721" s="322">
        <f t="shared" si="132"/>
        <v>5994.24</v>
      </c>
      <c r="L721" s="323" t="e">
        <f>IF(N721="Заказчика",N721,INDEX(#REF!,MATCH(C721,#REF!,0)))</f>
        <v>#REF!</v>
      </c>
      <c r="M721" s="450"/>
      <c r="N721" s="145" t="e">
        <f>IF(ISNA(MATCH(C721,#REF!,0)),"",INDEX(#REF!,MATCH(C721,#REF!,0)))</f>
        <v>#REF!</v>
      </c>
      <c r="O721" s="146" t="e">
        <f>SUMIF(#REF!,C721,#REF!)</f>
        <v>#REF!</v>
      </c>
      <c r="P721" s="146" t="s">
        <v>46</v>
      </c>
    </row>
    <row r="722" spans="2:16" ht="26" x14ac:dyDescent="0.3">
      <c r="B722" s="591"/>
      <c r="C722" s="596" t="s">
        <v>592</v>
      </c>
      <c r="D722" s="163" t="s">
        <v>856</v>
      </c>
      <c r="E722" s="275" t="s">
        <v>970</v>
      </c>
      <c r="F722" s="464">
        <v>1</v>
      </c>
      <c r="G722" s="240" t="str">
        <f t="shared" si="129"/>
        <v/>
      </c>
      <c r="H722" s="258">
        <v>1222</v>
      </c>
      <c r="I722" s="359">
        <f t="shared" si="130"/>
        <v>1111.212148767846</v>
      </c>
      <c r="J722" s="359">
        <f t="shared" si="131"/>
        <v>1111.212148767846</v>
      </c>
      <c r="K722" s="322">
        <f t="shared" si="132"/>
        <v>4105.92</v>
      </c>
      <c r="L722" s="323" t="e">
        <f>IF(N722="Заказчика",N722,INDEX(#REF!,MATCH(C722,#REF!,0)))</f>
        <v>#REF!</v>
      </c>
      <c r="M722" s="450"/>
      <c r="N722" s="145" t="e">
        <f>IF(ISNA(MATCH(C722,#REF!,0)),"",INDEX(#REF!,MATCH(C722,#REF!,0)))</f>
        <v>#REF!</v>
      </c>
      <c r="O722" s="146" t="e">
        <f>SUMIF(#REF!,C722,#REF!)</f>
        <v>#REF!</v>
      </c>
      <c r="P722" s="146" t="s">
        <v>46</v>
      </c>
    </row>
    <row r="723" spans="2:16" ht="26" x14ac:dyDescent="0.3">
      <c r="B723" s="591"/>
      <c r="C723" s="596" t="s">
        <v>593</v>
      </c>
      <c r="D723" s="163" t="s">
        <v>857</v>
      </c>
      <c r="E723" s="275" t="s">
        <v>970</v>
      </c>
      <c r="F723" s="464">
        <f>1</f>
        <v>1</v>
      </c>
      <c r="G723" s="240" t="str">
        <f t="shared" si="129"/>
        <v/>
      </c>
      <c r="H723" s="258">
        <v>791</v>
      </c>
      <c r="I723" s="359">
        <f t="shared" si="130"/>
        <v>719.28707829408029</v>
      </c>
      <c r="J723" s="359">
        <f t="shared" si="131"/>
        <v>719.28707829408029</v>
      </c>
      <c r="K723" s="322">
        <f t="shared" si="132"/>
        <v>2657.7599999999998</v>
      </c>
      <c r="L723" s="323" t="e">
        <f>IF(N723="Заказчика",N723,INDEX(#REF!,MATCH(C723,#REF!,0)))</f>
        <v>#REF!</v>
      </c>
      <c r="M723" s="450"/>
      <c r="N723" s="145" t="e">
        <f>IF(ISNA(MATCH(C723,#REF!,0)),"",INDEX(#REF!,MATCH(C723,#REF!,0)))</f>
        <v>#REF!</v>
      </c>
      <c r="O723" s="146" t="e">
        <f>SUMIF(#REF!,C723,#REF!)</f>
        <v>#REF!</v>
      </c>
      <c r="P723" s="146" t="s">
        <v>46</v>
      </c>
    </row>
    <row r="724" spans="2:16" ht="39" x14ac:dyDescent="0.3">
      <c r="B724" s="591"/>
      <c r="C724" s="596" t="s">
        <v>594</v>
      </c>
      <c r="D724" s="163" t="s">
        <v>858</v>
      </c>
      <c r="E724" s="275" t="s">
        <v>970</v>
      </c>
      <c r="F724" s="464">
        <v>30</v>
      </c>
      <c r="G724" s="240" t="str">
        <f t="shared" si="129"/>
        <v/>
      </c>
      <c r="H724" s="258">
        <v>11441</v>
      </c>
      <c r="I724" s="359">
        <f t="shared" si="130"/>
        <v>10403.746476311722</v>
      </c>
      <c r="J724" s="359">
        <f t="shared" si="131"/>
        <v>346.79154921039077</v>
      </c>
      <c r="K724" s="322">
        <f t="shared" si="132"/>
        <v>38441.760000000002</v>
      </c>
      <c r="L724" s="323" t="e">
        <f>IF(N724="Заказчика",N724,INDEX(#REF!,MATCH(C724,#REF!,0)))</f>
        <v>#REF!</v>
      </c>
      <c r="M724" s="450"/>
      <c r="N724" s="145" t="e">
        <f>IF(ISNA(MATCH(C724,#REF!,0)),"",INDEX(#REF!,MATCH(C724,#REF!,0)))</f>
        <v>#REF!</v>
      </c>
      <c r="O724" s="146" t="e">
        <f>SUMIF(#REF!,C724,#REF!)</f>
        <v>#REF!</v>
      </c>
      <c r="P724" s="146" t="s">
        <v>46</v>
      </c>
    </row>
    <row r="725" spans="2:16" x14ac:dyDescent="0.3">
      <c r="B725" s="591"/>
      <c r="C725" s="596" t="s">
        <v>595</v>
      </c>
      <c r="D725" s="163" t="s">
        <v>859</v>
      </c>
      <c r="E725" s="275" t="s">
        <v>970</v>
      </c>
      <c r="F725" s="464">
        <v>5</v>
      </c>
      <c r="G725" s="240" t="str">
        <f t="shared" si="129"/>
        <v/>
      </c>
      <c r="H725" s="242">
        <v>1591</v>
      </c>
      <c r="I725" s="353">
        <f t="shared" si="130"/>
        <v>1446.7582067836684</v>
      </c>
      <c r="J725" s="353">
        <f t="shared" si="131"/>
        <v>289.35164135673369</v>
      </c>
      <c r="K725" s="322">
        <f t="shared" si="132"/>
        <v>5345.76</v>
      </c>
      <c r="L725" s="323" t="e">
        <f>IF(N725="Заказчика",N725,INDEX(#REF!,MATCH(C725,#REF!,0)))</f>
        <v>#REF!</v>
      </c>
      <c r="M725" s="450"/>
      <c r="N725" s="145" t="e">
        <f>IF(ISNA(MATCH(C725,#REF!,0)),"",INDEX(#REF!,MATCH(C725,#REF!,0)))</f>
        <v>#REF!</v>
      </c>
      <c r="O725" s="146" t="e">
        <f>SUMIF(#REF!,C725,#REF!)</f>
        <v>#REF!</v>
      </c>
      <c r="P725" s="146" t="s">
        <v>46</v>
      </c>
    </row>
    <row r="726" spans="2:16" ht="26" x14ac:dyDescent="0.3">
      <c r="B726" s="591"/>
      <c r="C726" s="596" t="s">
        <v>596</v>
      </c>
      <c r="D726" s="163" t="s">
        <v>860</v>
      </c>
      <c r="E726" s="275" t="s">
        <v>970</v>
      </c>
      <c r="F726" s="464">
        <v>3</v>
      </c>
      <c r="G726" s="240" t="str">
        <f t="shared" si="129"/>
        <v/>
      </c>
      <c r="H726" s="242">
        <v>10592</v>
      </c>
      <c r="I726" s="353">
        <f t="shared" si="130"/>
        <v>9631.7177412021465</v>
      </c>
      <c r="J726" s="353">
        <f t="shared" si="131"/>
        <v>3210.5725804007157</v>
      </c>
      <c r="K726" s="322">
        <f t="shared" si="132"/>
        <v>35589.119999999995</v>
      </c>
      <c r="L726" s="323" t="e">
        <f>IF(N726="Заказчика",N726,INDEX(#REF!,MATCH(C726,#REF!,0)))</f>
        <v>#REF!</v>
      </c>
      <c r="M726" s="450"/>
      <c r="N726" s="145" t="e">
        <f>IF(ISNA(MATCH(C726,#REF!,0)),"",INDEX(#REF!,MATCH(C726,#REF!,0)))</f>
        <v>#REF!</v>
      </c>
      <c r="O726" s="146" t="e">
        <f>SUMIF(#REF!,C726,#REF!)</f>
        <v>#REF!</v>
      </c>
      <c r="P726" s="146" t="s">
        <v>46</v>
      </c>
    </row>
    <row r="727" spans="2:16" ht="52" x14ac:dyDescent="0.3">
      <c r="B727" s="591"/>
      <c r="C727" s="596" t="s">
        <v>597</v>
      </c>
      <c r="D727" s="163" t="s">
        <v>861</v>
      </c>
      <c r="E727" s="275" t="s">
        <v>970</v>
      </c>
      <c r="F727" s="464">
        <v>4</v>
      </c>
      <c r="G727" s="240" t="str">
        <f t="shared" si="129"/>
        <v/>
      </c>
      <c r="H727" s="258">
        <v>54004</v>
      </c>
      <c r="I727" s="359">
        <f t="shared" si="130"/>
        <v>49107.93852868965</v>
      </c>
      <c r="J727" s="359">
        <f t="shared" si="131"/>
        <v>12276.984632172413</v>
      </c>
      <c r="K727" s="322">
        <f t="shared" si="132"/>
        <v>181453.44</v>
      </c>
      <c r="L727" s="323" t="e">
        <f>IF(N727="Заказчика",N727,INDEX(#REF!,MATCH(C727,#REF!,0)))</f>
        <v>#REF!</v>
      </c>
      <c r="M727" s="450"/>
      <c r="N727" s="145" t="e">
        <f>IF(ISNA(MATCH(C727,#REF!,0)),"",INDEX(#REF!,MATCH(C727,#REF!,0)))</f>
        <v>#REF!</v>
      </c>
      <c r="O727" s="146" t="e">
        <f>SUMIF(#REF!,C727,#REF!)</f>
        <v>#REF!</v>
      </c>
      <c r="P727" s="146" t="s">
        <v>46</v>
      </c>
    </row>
    <row r="728" spans="2:16" ht="26" x14ac:dyDescent="0.3">
      <c r="B728" s="591"/>
      <c r="C728" s="596" t="s">
        <v>598</v>
      </c>
      <c r="D728" s="163" t="s">
        <v>862</v>
      </c>
      <c r="E728" s="275" t="s">
        <v>970</v>
      </c>
      <c r="F728" s="464">
        <v>1</v>
      </c>
      <c r="G728" s="240" t="str">
        <f t="shared" si="129"/>
        <v/>
      </c>
      <c r="H728" s="246">
        <v>1784</v>
      </c>
      <c r="I728" s="355">
        <f t="shared" si="130"/>
        <v>1622.2606165317816</v>
      </c>
      <c r="J728" s="355">
        <f t="shared" si="131"/>
        <v>1622.2606165317816</v>
      </c>
      <c r="K728" s="324">
        <f t="shared" si="132"/>
        <v>5994.24</v>
      </c>
      <c r="L728" s="321" t="e">
        <f>IF(N728="Заказчика",N728,INDEX(#REF!,MATCH(C728,#REF!,0)))</f>
        <v>#REF!</v>
      </c>
      <c r="M728" s="450"/>
      <c r="N728" s="145" t="e">
        <f>IF(ISNA(MATCH(C728,#REF!,0)),"",INDEX(#REF!,MATCH(C728,#REF!,0)))</f>
        <v>#REF!</v>
      </c>
      <c r="O728" s="146" t="e">
        <f>SUMIF(#REF!,C728,#REF!)</f>
        <v>#REF!</v>
      </c>
      <c r="P728" s="146" t="s">
        <v>46</v>
      </c>
    </row>
    <row r="729" spans="2:16" ht="26" x14ac:dyDescent="0.3">
      <c r="B729" s="591"/>
      <c r="C729" s="596" t="s">
        <v>599</v>
      </c>
      <c r="D729" s="163" t="s">
        <v>863</v>
      </c>
      <c r="E729" s="275" t="s">
        <v>970</v>
      </c>
      <c r="F729" s="464">
        <v>1</v>
      </c>
      <c r="G729" s="240" t="str">
        <f t="shared" si="129"/>
        <v/>
      </c>
      <c r="H729" s="246">
        <v>1931</v>
      </c>
      <c r="I729" s="355">
        <f t="shared" si="130"/>
        <v>1755.9334363917433</v>
      </c>
      <c r="J729" s="355">
        <f t="shared" si="131"/>
        <v>1755.9334363917433</v>
      </c>
      <c r="K729" s="324">
        <f t="shared" si="132"/>
        <v>6488.16</v>
      </c>
      <c r="L729" s="321" t="e">
        <f>IF(N729="Заказчика",N729,INDEX(#REF!,MATCH(C729,#REF!,0)))</f>
        <v>#REF!</v>
      </c>
      <c r="M729" s="450"/>
      <c r="N729" s="145" t="e">
        <f>IF(ISNA(MATCH(C729,#REF!,0)),"",INDEX(#REF!,MATCH(C729,#REF!,0)))</f>
        <v>#REF!</v>
      </c>
      <c r="O729" s="146" t="e">
        <f>SUMIF(#REF!,C729,#REF!)</f>
        <v>#REF!</v>
      </c>
      <c r="P729" s="146" t="s">
        <v>46</v>
      </c>
    </row>
    <row r="730" spans="2:16" ht="26" x14ac:dyDescent="0.3">
      <c r="B730" s="591"/>
      <c r="C730" s="596" t="s">
        <v>600</v>
      </c>
      <c r="D730" s="163" t="s">
        <v>864</v>
      </c>
      <c r="E730" s="275" t="s">
        <v>970</v>
      </c>
      <c r="F730" s="464">
        <v>2</v>
      </c>
      <c r="G730" s="240" t="str">
        <f t="shared" si="129"/>
        <v/>
      </c>
      <c r="H730" s="246">
        <v>3569</v>
      </c>
      <c r="I730" s="355">
        <f t="shared" si="130"/>
        <v>3245.4305719741751</v>
      </c>
      <c r="J730" s="355">
        <f t="shared" si="131"/>
        <v>1622.7152859870876</v>
      </c>
      <c r="K730" s="324">
        <f t="shared" si="132"/>
        <v>11991.84</v>
      </c>
      <c r="L730" s="321" t="e">
        <f>IF(N730="Заказчика",N730,INDEX(#REF!,MATCH(C730,#REF!,0)))</f>
        <v>#REF!</v>
      </c>
      <c r="M730" s="450"/>
      <c r="N730" s="145" t="e">
        <f>IF(ISNA(MATCH(C730,#REF!,0)),"",INDEX(#REF!,MATCH(C730,#REF!,0)))</f>
        <v>#REF!</v>
      </c>
      <c r="O730" s="146" t="e">
        <f>SUMIF(#REF!,C730,#REF!)</f>
        <v>#REF!</v>
      </c>
      <c r="P730" s="146" t="s">
        <v>46</v>
      </c>
    </row>
    <row r="731" spans="2:16" ht="26" x14ac:dyDescent="0.3">
      <c r="B731" s="591"/>
      <c r="C731" s="596" t="s">
        <v>601</v>
      </c>
      <c r="D731" s="163" t="s">
        <v>865</v>
      </c>
      <c r="E731" s="275" t="s">
        <v>970</v>
      </c>
      <c r="F731" s="464">
        <v>2</v>
      </c>
      <c r="G731" s="240" t="str">
        <f t="shared" si="129"/>
        <v/>
      </c>
      <c r="H731" s="246">
        <v>3863</v>
      </c>
      <c r="I731" s="355">
        <f t="shared" si="130"/>
        <v>3512.7762116940985</v>
      </c>
      <c r="J731" s="355">
        <f t="shared" si="131"/>
        <v>1756.3881058470492</v>
      </c>
      <c r="K731" s="324">
        <f t="shared" si="132"/>
        <v>12979.68</v>
      </c>
      <c r="L731" s="321" t="e">
        <f>IF(N731="Заказчика",N731,INDEX(#REF!,MATCH(C731,#REF!,0)))</f>
        <v>#REF!</v>
      </c>
      <c r="M731" s="450"/>
      <c r="N731" s="145" t="e">
        <f>IF(ISNA(MATCH(C731,#REF!,0)),"",INDEX(#REF!,MATCH(C731,#REF!,0)))</f>
        <v>#REF!</v>
      </c>
      <c r="O731" s="146" t="e">
        <f>SUMIF(#REF!,C731,#REF!)</f>
        <v>#REF!</v>
      </c>
      <c r="P731" s="146" t="s">
        <v>46</v>
      </c>
    </row>
    <row r="732" spans="2:16" x14ac:dyDescent="0.3">
      <c r="B732" s="591"/>
      <c r="C732" s="596" t="s">
        <v>602</v>
      </c>
      <c r="D732" s="163" t="s">
        <v>866</v>
      </c>
      <c r="E732" s="275" t="s">
        <v>970</v>
      </c>
      <c r="F732" s="464">
        <v>2</v>
      </c>
      <c r="G732" s="240" t="str">
        <f t="shared" si="129"/>
        <v/>
      </c>
      <c r="H732" s="249">
        <v>59964</v>
      </c>
      <c r="I732" s="358">
        <f t="shared" si="130"/>
        <v>54527.598435937078</v>
      </c>
      <c r="J732" s="358">
        <f t="shared" si="131"/>
        <v>27263.799217968539</v>
      </c>
      <c r="K732" s="324">
        <f t="shared" si="132"/>
        <v>201479.03999999998</v>
      </c>
      <c r="L732" s="321" t="e">
        <f>IF(N732="Заказчика",N732,INDEX(#REF!,MATCH(C732,#REF!,0)))</f>
        <v>#REF!</v>
      </c>
      <c r="M732" s="450"/>
      <c r="N732" s="145" t="e">
        <f>IF(ISNA(MATCH(C732,#REF!,0)),"",INDEX(#REF!,MATCH(C732,#REF!,0)))</f>
        <v>#REF!</v>
      </c>
      <c r="O732" s="146" t="e">
        <f>SUMIF(#REF!,C732,#REF!)</f>
        <v>#REF!</v>
      </c>
      <c r="P732" s="146" t="s">
        <v>46</v>
      </c>
    </row>
    <row r="733" spans="2:16" x14ac:dyDescent="0.3">
      <c r="B733" s="591"/>
      <c r="C733" s="596" t="s">
        <v>603</v>
      </c>
      <c r="D733" s="163" t="s">
        <v>867</v>
      </c>
      <c r="E733" s="275" t="s">
        <v>1036</v>
      </c>
      <c r="F733" s="464">
        <v>1</v>
      </c>
      <c r="G733" s="240" t="str">
        <f t="shared" si="129"/>
        <v/>
      </c>
      <c r="H733" s="246">
        <v>42464</v>
      </c>
      <c r="I733" s="355">
        <f t="shared" si="130"/>
        <v>38614.16750022734</v>
      </c>
      <c r="J733" s="355">
        <f t="shared" si="131"/>
        <v>38614.16750022734</v>
      </c>
      <c r="K733" s="324">
        <f t="shared" si="132"/>
        <v>142679.04000000001</v>
      </c>
      <c r="L733" s="321" t="e">
        <f>IF(N733="Заказчика",N733,INDEX(#REF!,MATCH(C733,#REF!,0)))</f>
        <v>#REF!</v>
      </c>
      <c r="M733" s="450"/>
      <c r="N733" s="145" t="e">
        <f>IF(ISNA(MATCH(C733,#REF!,0)),"",INDEX(#REF!,MATCH(C733,#REF!,0)))</f>
        <v>#REF!</v>
      </c>
      <c r="O733" s="146" t="e">
        <f>SUMIF(#REF!,C733,#REF!)</f>
        <v>#REF!</v>
      </c>
      <c r="P733" s="146" t="s">
        <v>46</v>
      </c>
    </row>
    <row r="734" spans="2:16" ht="39" x14ac:dyDescent="0.3">
      <c r="B734" s="591"/>
      <c r="C734" s="596" t="s">
        <v>604</v>
      </c>
      <c r="D734" s="163" t="s">
        <v>868</v>
      </c>
      <c r="E734" s="275" t="s">
        <v>1036</v>
      </c>
      <c r="F734" s="464">
        <v>3</v>
      </c>
      <c r="G734" s="240" t="str">
        <f t="shared" si="129"/>
        <v/>
      </c>
      <c r="H734" s="246">
        <v>96360</v>
      </c>
      <c r="I734" s="355">
        <f t="shared" si="130"/>
        <v>87623.897426570897</v>
      </c>
      <c r="J734" s="355">
        <f t="shared" si="131"/>
        <v>29207.965808856967</v>
      </c>
      <c r="K734" s="324">
        <f t="shared" si="132"/>
        <v>323769.59999999998</v>
      </c>
      <c r="L734" s="321" t="e">
        <f>IF(N734="Заказчика",N734,INDEX(#REF!,MATCH(C734,#REF!,0)))</f>
        <v>#REF!</v>
      </c>
      <c r="M734" s="450"/>
      <c r="N734" s="145" t="e">
        <f>IF(ISNA(MATCH(C734,#REF!,0)),"",INDEX(#REF!,MATCH(C734,#REF!,0)))</f>
        <v>#REF!</v>
      </c>
      <c r="O734" s="146" t="e">
        <f>SUMIF(#REF!,C734,#REF!)</f>
        <v>#REF!</v>
      </c>
      <c r="P734" s="146" t="s">
        <v>46</v>
      </c>
    </row>
    <row r="735" spans="2:16" ht="39" x14ac:dyDescent="0.3">
      <c r="B735" s="591"/>
      <c r="C735" s="596" t="s">
        <v>605</v>
      </c>
      <c r="D735" s="163" t="s">
        <v>869</v>
      </c>
      <c r="E735" s="275" t="s">
        <v>1036</v>
      </c>
      <c r="F735" s="464">
        <v>1</v>
      </c>
      <c r="G735" s="240" t="str">
        <f t="shared" si="129"/>
        <v/>
      </c>
      <c r="H735" s="246">
        <v>22429</v>
      </c>
      <c r="I735" s="355">
        <f t="shared" si="130"/>
        <v>20395.562426116216</v>
      </c>
      <c r="J735" s="355">
        <f t="shared" si="131"/>
        <v>20395.562426116216</v>
      </c>
      <c r="K735" s="324">
        <f t="shared" si="132"/>
        <v>75361.440000000002</v>
      </c>
      <c r="L735" s="321" t="e">
        <f>IF(N735="Заказчика",N735,INDEX(#REF!,MATCH(C735,#REF!,0)))</f>
        <v>#REF!</v>
      </c>
      <c r="M735" s="450"/>
      <c r="N735" s="145" t="e">
        <f>IF(ISNA(MATCH(C735,#REF!,0)),"",INDEX(#REF!,MATCH(C735,#REF!,0)))</f>
        <v>#REF!</v>
      </c>
      <c r="O735" s="146" t="e">
        <f>SUMIF(#REF!,C735,#REF!)</f>
        <v>#REF!</v>
      </c>
      <c r="P735" s="146" t="s">
        <v>46</v>
      </c>
    </row>
    <row r="736" spans="2:16" ht="26" x14ac:dyDescent="0.3">
      <c r="B736" s="591"/>
      <c r="C736" s="596" t="s">
        <v>606</v>
      </c>
      <c r="D736" s="163" t="s">
        <v>870</v>
      </c>
      <c r="E736" s="275" t="s">
        <v>1036</v>
      </c>
      <c r="F736" s="464">
        <v>1</v>
      </c>
      <c r="G736" s="240" t="str">
        <f t="shared" si="129"/>
        <v/>
      </c>
      <c r="H736" s="246">
        <v>24788</v>
      </c>
      <c r="I736" s="355">
        <f t="shared" si="130"/>
        <v>22540.692916249889</v>
      </c>
      <c r="J736" s="355">
        <f t="shared" si="131"/>
        <v>22540.692916249889</v>
      </c>
      <c r="K736" s="324">
        <f t="shared" si="132"/>
        <v>83287.679999999993</v>
      </c>
      <c r="L736" s="321" t="e">
        <f>IF(N736="Заказчика",N736,INDEX(#REF!,MATCH(C736,#REF!,0)))</f>
        <v>#REF!</v>
      </c>
      <c r="M736" s="450"/>
      <c r="N736" s="145" t="e">
        <f>IF(ISNA(MATCH(C736,#REF!,0)),"",INDEX(#REF!,MATCH(C736,#REF!,0)))</f>
        <v>#REF!</v>
      </c>
      <c r="O736" s="146" t="e">
        <f>SUMIF(#REF!,C736,#REF!)</f>
        <v>#REF!</v>
      </c>
      <c r="P736" s="146" t="s">
        <v>46</v>
      </c>
    </row>
    <row r="737" spans="1:16" ht="39" x14ac:dyDescent="0.3">
      <c r="B737" s="591"/>
      <c r="C737" s="596" t="s">
        <v>607</v>
      </c>
      <c r="D737" s="163" t="s">
        <v>871</v>
      </c>
      <c r="E737" s="275" t="s">
        <v>970</v>
      </c>
      <c r="F737" s="464">
        <v>3</v>
      </c>
      <c r="G737" s="240" t="str">
        <f t="shared" si="129"/>
        <v/>
      </c>
      <c r="H737" s="249">
        <v>55878</v>
      </c>
      <c r="I737" s="358">
        <f t="shared" si="130"/>
        <v>50812.039647176505</v>
      </c>
      <c r="J737" s="358">
        <f t="shared" si="131"/>
        <v>16937.346549058835</v>
      </c>
      <c r="K737" s="324">
        <f t="shared" si="132"/>
        <v>187750.08</v>
      </c>
      <c r="L737" s="321" t="e">
        <f>IF(N737="Заказчика",N737,INDEX(#REF!,MATCH(C737,#REF!,0)))</f>
        <v>#REF!</v>
      </c>
      <c r="M737" s="450"/>
      <c r="N737" s="145" t="e">
        <f>IF(ISNA(MATCH(C737,#REF!,0)),"",INDEX(#REF!,MATCH(C737,#REF!,0)))</f>
        <v>#REF!</v>
      </c>
      <c r="O737" s="146" t="e">
        <f>SUMIF(#REF!,C737,#REF!)</f>
        <v>#REF!</v>
      </c>
      <c r="P737" s="146" t="s">
        <v>46</v>
      </c>
    </row>
    <row r="738" spans="1:16" x14ac:dyDescent="0.3">
      <c r="B738" s="591"/>
      <c r="C738" s="596" t="s">
        <v>608</v>
      </c>
      <c r="D738" s="163" t="s">
        <v>872</v>
      </c>
      <c r="E738" s="275" t="s">
        <v>970</v>
      </c>
      <c r="F738" s="464">
        <v>26</v>
      </c>
      <c r="G738" s="240" t="str">
        <f t="shared" si="129"/>
        <v/>
      </c>
      <c r="H738" s="249">
        <v>26462</v>
      </c>
      <c r="I738" s="358">
        <f t="shared" si="130"/>
        <v>24062.92625261435</v>
      </c>
      <c r="J738" s="358">
        <f t="shared" si="131"/>
        <v>925.49716356209035</v>
      </c>
      <c r="K738" s="324">
        <f t="shared" si="132"/>
        <v>88912.319999999992</v>
      </c>
      <c r="L738" s="321" t="e">
        <f>IF(N738="Заказчика",N738,INDEX(#REF!,MATCH(C738,#REF!,0)))</f>
        <v>#REF!</v>
      </c>
      <c r="M738" s="450"/>
      <c r="N738" s="145" t="e">
        <f>IF(ISNA(MATCH(C738,#REF!,0)),"",INDEX(#REF!,MATCH(C738,#REF!,0)))</f>
        <v>#REF!</v>
      </c>
      <c r="O738" s="146" t="e">
        <f>SUMIF(#REF!,C738,#REF!)</f>
        <v>#REF!</v>
      </c>
      <c r="P738" s="146" t="s">
        <v>46</v>
      </c>
    </row>
    <row r="739" spans="1:16" ht="26" x14ac:dyDescent="0.3">
      <c r="B739" s="591"/>
      <c r="C739" s="596" t="s">
        <v>609</v>
      </c>
      <c r="D739" s="163" t="s">
        <v>873</v>
      </c>
      <c r="E739" s="275" t="s">
        <v>970</v>
      </c>
      <c r="F739" s="464">
        <v>2</v>
      </c>
      <c r="G739" s="240" t="str">
        <f t="shared" si="129"/>
        <v/>
      </c>
      <c r="H739" s="249">
        <v>1510</v>
      </c>
      <c r="I739" s="358">
        <f t="shared" si="130"/>
        <v>1373.1017550240977</v>
      </c>
      <c r="J739" s="358">
        <f t="shared" si="131"/>
        <v>686.55087751204883</v>
      </c>
      <c r="K739" s="324">
        <f t="shared" si="132"/>
        <v>5073.5999999999995</v>
      </c>
      <c r="L739" s="321" t="e">
        <f>IF(N739="Заказчика",N739,INDEX(#REF!,MATCH(C739,#REF!,0)))</f>
        <v>#REF!</v>
      </c>
      <c r="M739" s="450"/>
      <c r="N739" s="145" t="e">
        <f>IF(ISNA(MATCH(C739,#REF!,0)),"",INDEX(#REF!,MATCH(C739,#REF!,0)))</f>
        <v>#REF!</v>
      </c>
      <c r="O739" s="146" t="e">
        <f>SUMIF(#REF!,C739,#REF!)</f>
        <v>#REF!</v>
      </c>
      <c r="P739" s="146" t="s">
        <v>46</v>
      </c>
    </row>
    <row r="740" spans="1:16" s="30" customFormat="1" x14ac:dyDescent="0.3">
      <c r="A740" s="31"/>
      <c r="B740" s="162"/>
      <c r="C740" s="274"/>
      <c r="D740" s="163" t="s">
        <v>874</v>
      </c>
      <c r="E740" s="275"/>
      <c r="F740" s="464"/>
      <c r="G740" s="240"/>
      <c r="H740" s="243">
        <v>0</v>
      </c>
      <c r="I740" s="354"/>
      <c r="J740" s="354"/>
      <c r="K740" s="186"/>
      <c r="L740" s="186" t="e">
        <f>K740-O740</f>
        <v>#REF!</v>
      </c>
      <c r="M740" s="461"/>
      <c r="N740" s="157" t="e">
        <f>IF(ISNA(MATCH(C740,#REF!,0)),"",INDEX(#REF!,MATCH(C740,#REF!,0)))</f>
        <v>#REF!</v>
      </c>
      <c r="O740" s="158" t="e">
        <f>SUMIF(#REF!,C740,#REF!)</f>
        <v>#REF!</v>
      </c>
      <c r="P740" s="158" t="s">
        <v>46</v>
      </c>
    </row>
    <row r="741" spans="1:16" x14ac:dyDescent="0.3">
      <c r="B741" s="162"/>
      <c r="C741" s="274"/>
      <c r="D741" s="385" t="s">
        <v>875</v>
      </c>
      <c r="E741" s="385"/>
      <c r="F741" s="464"/>
      <c r="G741" s="240"/>
      <c r="H741" s="243">
        <v>0</v>
      </c>
      <c r="I741" s="354"/>
      <c r="J741" s="354"/>
      <c r="K741" s="186"/>
      <c r="L741" s="186" t="e">
        <f>K741-O741</f>
        <v>#REF!</v>
      </c>
      <c r="M741" s="450"/>
      <c r="N741" s="320" t="e">
        <f>IF(ISNA(MATCH(C741,#REF!,0)),"",INDEX(#REF!,MATCH(C741,#REF!,0)))</f>
        <v>#REF!</v>
      </c>
      <c r="O741" s="164" t="e">
        <f>SUMIF(#REF!,C741,#REF!)</f>
        <v>#REF!</v>
      </c>
      <c r="P741" s="164" t="s">
        <v>46</v>
      </c>
    </row>
    <row r="742" spans="1:16" ht="26" x14ac:dyDescent="0.3">
      <c r="B742" s="591"/>
      <c r="C742" s="596" t="s">
        <v>610</v>
      </c>
      <c r="D742" s="163" t="s">
        <v>876</v>
      </c>
      <c r="E742" s="275" t="s">
        <v>970</v>
      </c>
      <c r="F742" s="464">
        <v>1</v>
      </c>
      <c r="G742" s="240" t="str">
        <f t="shared" ref="G742:G758" si="133">IF(ISERR(L742/F742),"",K742/F742)</f>
        <v/>
      </c>
      <c r="H742" s="246">
        <v>9247</v>
      </c>
      <c r="I742" s="355">
        <f t="shared" ref="I742:I758" si="134">H742/1.0997</f>
        <v>8408.656906429027</v>
      </c>
      <c r="J742" s="355">
        <f t="shared" ref="J742:J758" si="135">I742/F742</f>
        <v>8408.656906429027</v>
      </c>
      <c r="K742" s="324">
        <f t="shared" ref="K742:K758" si="136">H742*$C$6</f>
        <v>31069.919999999998</v>
      </c>
      <c r="L742" s="321" t="e">
        <f>IF(N742="Заказчика",N742,INDEX(#REF!,MATCH(C742,#REF!,0)))</f>
        <v>#REF!</v>
      </c>
      <c r="M742" s="450"/>
      <c r="N742" s="145" t="e">
        <f>IF(ISNA(MATCH(C742,#REF!,0)),"",INDEX(#REF!,MATCH(C742,#REF!,0)))</f>
        <v>#REF!</v>
      </c>
      <c r="O742" s="146" t="e">
        <f>SUMIF(#REF!,C742,#REF!)</f>
        <v>#REF!</v>
      </c>
      <c r="P742" s="146" t="s">
        <v>46</v>
      </c>
    </row>
    <row r="743" spans="1:16" x14ac:dyDescent="0.3">
      <c r="B743" s="591"/>
      <c r="C743" s="596" t="s">
        <v>611</v>
      </c>
      <c r="D743" s="163" t="s">
        <v>877</v>
      </c>
      <c r="E743" s="275" t="s">
        <v>970</v>
      </c>
      <c r="F743" s="464">
        <v>1</v>
      </c>
      <c r="G743" s="240" t="str">
        <f t="shared" si="133"/>
        <v/>
      </c>
      <c r="H743" s="249">
        <v>138255</v>
      </c>
      <c r="I743" s="358">
        <f t="shared" si="134"/>
        <v>125720.65108666001</v>
      </c>
      <c r="J743" s="358">
        <f t="shared" si="135"/>
        <v>125720.65108666001</v>
      </c>
      <c r="K743" s="324">
        <f t="shared" si="136"/>
        <v>464536.8</v>
      </c>
      <c r="L743" s="321" t="e">
        <f>IF(N743="Заказчика",N743,INDEX(#REF!,MATCH(C743,#REF!,0)))</f>
        <v>#REF!</v>
      </c>
      <c r="M743" s="450"/>
      <c r="N743" s="145" t="e">
        <f>IF(ISNA(MATCH(C743,#REF!,0)),"",INDEX(#REF!,MATCH(C743,#REF!,0)))</f>
        <v>#REF!</v>
      </c>
      <c r="O743" s="146" t="e">
        <f>SUMIF(#REF!,C743,#REF!)</f>
        <v>#REF!</v>
      </c>
      <c r="P743" s="146" t="s">
        <v>46</v>
      </c>
    </row>
    <row r="744" spans="1:16" x14ac:dyDescent="0.3">
      <c r="B744" s="591"/>
      <c r="C744" s="596" t="s">
        <v>612</v>
      </c>
      <c r="D744" s="163" t="s">
        <v>878</v>
      </c>
      <c r="E744" s="275" t="s">
        <v>970</v>
      </c>
      <c r="F744" s="464">
        <v>1</v>
      </c>
      <c r="G744" s="240" t="str">
        <f t="shared" si="133"/>
        <v/>
      </c>
      <c r="H744" s="246">
        <v>7346</v>
      </c>
      <c r="I744" s="355">
        <f t="shared" si="134"/>
        <v>6680.0036373556431</v>
      </c>
      <c r="J744" s="355">
        <f t="shared" si="135"/>
        <v>6680.0036373556431</v>
      </c>
      <c r="K744" s="324">
        <f t="shared" si="136"/>
        <v>24682.559999999998</v>
      </c>
      <c r="L744" s="321" t="e">
        <f>IF(N744="Заказчика",N744,INDEX(#REF!,MATCH(C744,#REF!,0)))</f>
        <v>#REF!</v>
      </c>
      <c r="M744" s="450"/>
      <c r="N744" s="145" t="e">
        <f>IF(ISNA(MATCH(C744,#REF!,0)),"",INDEX(#REF!,MATCH(C744,#REF!,0)))</f>
        <v>#REF!</v>
      </c>
      <c r="O744" s="146" t="e">
        <f>SUMIF(#REF!,C744,#REF!)</f>
        <v>#REF!</v>
      </c>
      <c r="P744" s="146" t="s">
        <v>46</v>
      </c>
    </row>
    <row r="745" spans="1:16" x14ac:dyDescent="0.3">
      <c r="B745" s="591"/>
      <c r="C745" s="596" t="s">
        <v>613</v>
      </c>
      <c r="D745" s="163" t="s">
        <v>879</v>
      </c>
      <c r="E745" s="275" t="s">
        <v>970</v>
      </c>
      <c r="F745" s="464">
        <v>1</v>
      </c>
      <c r="G745" s="240" t="str">
        <f t="shared" si="133"/>
        <v/>
      </c>
      <c r="H745" s="249">
        <v>5987</v>
      </c>
      <c r="I745" s="358">
        <f t="shared" si="134"/>
        <v>5444.2120578339554</v>
      </c>
      <c r="J745" s="358">
        <f t="shared" si="135"/>
        <v>5444.2120578339554</v>
      </c>
      <c r="K745" s="324">
        <f t="shared" si="136"/>
        <v>20116.32</v>
      </c>
      <c r="L745" s="321" t="e">
        <f>IF(N745="Заказчика",N745,INDEX(#REF!,MATCH(C745,#REF!,0)))</f>
        <v>#REF!</v>
      </c>
      <c r="M745" s="450"/>
      <c r="N745" s="145" t="e">
        <f>IF(ISNA(MATCH(C745,#REF!,0)),"",INDEX(#REF!,MATCH(C745,#REF!,0)))</f>
        <v>#REF!</v>
      </c>
      <c r="O745" s="146" t="e">
        <f>SUMIF(#REF!,C745,#REF!)</f>
        <v>#REF!</v>
      </c>
      <c r="P745" s="146" t="s">
        <v>46</v>
      </c>
    </row>
    <row r="746" spans="1:16" ht="26" x14ac:dyDescent="0.3">
      <c r="B746" s="591"/>
      <c r="C746" s="596" t="s">
        <v>614</v>
      </c>
      <c r="D746" s="163" t="s">
        <v>880</v>
      </c>
      <c r="E746" s="275" t="s">
        <v>970</v>
      </c>
      <c r="F746" s="464">
        <v>2</v>
      </c>
      <c r="G746" s="240" t="str">
        <f t="shared" si="133"/>
        <v/>
      </c>
      <c r="H746" s="249">
        <v>25743</v>
      </c>
      <c r="I746" s="358">
        <f t="shared" si="134"/>
        <v>23409.111575884333</v>
      </c>
      <c r="J746" s="358">
        <f t="shared" si="135"/>
        <v>11704.555787942167</v>
      </c>
      <c r="K746" s="324">
        <f t="shared" si="136"/>
        <v>86496.48</v>
      </c>
      <c r="L746" s="321" t="e">
        <f>IF(N746="Заказчика",N746,INDEX(#REF!,MATCH(C746,#REF!,0)))</f>
        <v>#REF!</v>
      </c>
      <c r="M746" s="450"/>
      <c r="N746" s="145" t="e">
        <f>IF(ISNA(MATCH(C746,#REF!,0)),"",INDEX(#REF!,MATCH(C746,#REF!,0)))</f>
        <v>#REF!</v>
      </c>
      <c r="O746" s="146" t="e">
        <f>SUMIF(#REF!,C746,#REF!)</f>
        <v>#REF!</v>
      </c>
      <c r="P746" s="146" t="s">
        <v>46</v>
      </c>
    </row>
    <row r="747" spans="1:16" x14ac:dyDescent="0.3">
      <c r="B747" s="591"/>
      <c r="C747" s="596" t="s">
        <v>615</v>
      </c>
      <c r="D747" s="163" t="s">
        <v>881</v>
      </c>
      <c r="E747" s="275" t="s">
        <v>970</v>
      </c>
      <c r="F747" s="464">
        <v>1</v>
      </c>
      <c r="G747" s="240" t="str">
        <f t="shared" si="133"/>
        <v/>
      </c>
      <c r="H747" s="249">
        <v>23823</v>
      </c>
      <c r="I747" s="358">
        <f t="shared" si="134"/>
        <v>21663.180867509323</v>
      </c>
      <c r="J747" s="358">
        <f t="shared" si="135"/>
        <v>21663.180867509323</v>
      </c>
      <c r="K747" s="324">
        <f t="shared" si="136"/>
        <v>80045.279999999999</v>
      </c>
      <c r="L747" s="321" t="e">
        <f>IF(N747="Заказчика",N747,INDEX(#REF!,MATCH(C747,#REF!,0)))</f>
        <v>#REF!</v>
      </c>
      <c r="M747" s="450"/>
      <c r="N747" s="145" t="e">
        <f>IF(ISNA(MATCH(C747,#REF!,0)),"",INDEX(#REF!,MATCH(C747,#REF!,0)))</f>
        <v>#REF!</v>
      </c>
      <c r="O747" s="146" t="e">
        <f>SUMIF(#REF!,C747,#REF!)</f>
        <v>#REF!</v>
      </c>
      <c r="P747" s="146" t="s">
        <v>46</v>
      </c>
    </row>
    <row r="748" spans="1:16" x14ac:dyDescent="0.3">
      <c r="B748" s="591"/>
      <c r="C748" s="596" t="s">
        <v>616</v>
      </c>
      <c r="D748" s="163" t="s">
        <v>882</v>
      </c>
      <c r="E748" s="275" t="s">
        <v>970</v>
      </c>
      <c r="F748" s="464">
        <v>2</v>
      </c>
      <c r="G748" s="240" t="str">
        <f t="shared" si="133"/>
        <v/>
      </c>
      <c r="H748" s="246">
        <v>49447</v>
      </c>
      <c r="I748" s="355">
        <f t="shared" si="134"/>
        <v>44964.081113030828</v>
      </c>
      <c r="J748" s="355">
        <f t="shared" si="135"/>
        <v>22482.040556515414</v>
      </c>
      <c r="K748" s="324">
        <f t="shared" si="136"/>
        <v>166141.91999999998</v>
      </c>
      <c r="L748" s="321" t="e">
        <f>IF(N748="Заказчика",N748,INDEX(#REF!,MATCH(C748,#REF!,0)))</f>
        <v>#REF!</v>
      </c>
      <c r="M748" s="450"/>
      <c r="N748" s="145" t="e">
        <f>IF(ISNA(MATCH(C748,#REF!,0)),"",INDEX(#REF!,MATCH(C748,#REF!,0)))</f>
        <v>#REF!</v>
      </c>
      <c r="O748" s="146" t="e">
        <f>SUMIF(#REF!,C748,#REF!)</f>
        <v>#REF!</v>
      </c>
      <c r="P748" s="146" t="s">
        <v>46</v>
      </c>
    </row>
    <row r="749" spans="1:16" x14ac:dyDescent="0.3">
      <c r="B749" s="591"/>
      <c r="C749" s="596" t="s">
        <v>617</v>
      </c>
      <c r="D749" s="163" t="s">
        <v>883</v>
      </c>
      <c r="E749" s="275" t="s">
        <v>970</v>
      </c>
      <c r="F749" s="464">
        <v>5</v>
      </c>
      <c r="G749" s="240" t="str">
        <f t="shared" si="133"/>
        <v/>
      </c>
      <c r="H749" s="249">
        <v>9587119</v>
      </c>
      <c r="I749" s="358">
        <f t="shared" si="134"/>
        <v>8717940.3473674655</v>
      </c>
      <c r="J749" s="358">
        <f t="shared" si="135"/>
        <v>1743588.0694734931</v>
      </c>
      <c r="K749" s="324">
        <f t="shared" si="136"/>
        <v>32212719.84</v>
      </c>
      <c r="L749" s="321" t="e">
        <f>IF(N749="Заказчика",N749,INDEX(#REF!,MATCH(C749,#REF!,0)))</f>
        <v>#REF!</v>
      </c>
      <c r="M749" s="450"/>
      <c r="N749" s="145" t="e">
        <f>IF(ISNA(MATCH(C749,#REF!,0)),"",INDEX(#REF!,MATCH(C749,#REF!,0)))</f>
        <v>#REF!</v>
      </c>
      <c r="O749" s="146" t="e">
        <f>SUMIF(#REF!,C749,#REF!)</f>
        <v>#REF!</v>
      </c>
      <c r="P749" s="146" t="s">
        <v>46</v>
      </c>
    </row>
    <row r="750" spans="1:16" ht="26" x14ac:dyDescent="0.3">
      <c r="B750" s="591"/>
      <c r="C750" s="596" t="s">
        <v>618</v>
      </c>
      <c r="D750" s="163" t="s">
        <v>884</v>
      </c>
      <c r="E750" s="275" t="s">
        <v>970</v>
      </c>
      <c r="F750" s="464">
        <v>2</v>
      </c>
      <c r="G750" s="240" t="str">
        <f t="shared" si="133"/>
        <v/>
      </c>
      <c r="H750" s="246">
        <v>10151</v>
      </c>
      <c r="I750" s="355">
        <f t="shared" si="134"/>
        <v>9230.699281622261</v>
      </c>
      <c r="J750" s="355">
        <f t="shared" si="135"/>
        <v>4615.3496408111305</v>
      </c>
      <c r="K750" s="324">
        <f t="shared" si="136"/>
        <v>34107.360000000001</v>
      </c>
      <c r="L750" s="321" t="e">
        <f>IF(N750="Заказчика",N750,INDEX(#REF!,MATCH(C750,#REF!,0)))</f>
        <v>#REF!</v>
      </c>
      <c r="M750" s="450"/>
      <c r="N750" s="145" t="e">
        <f>IF(ISNA(MATCH(C750,#REF!,0)),"",INDEX(#REF!,MATCH(C750,#REF!,0)))</f>
        <v>#REF!</v>
      </c>
      <c r="O750" s="146" t="e">
        <f>SUMIF(#REF!,C750,#REF!)</f>
        <v>#REF!</v>
      </c>
      <c r="P750" s="146" t="s">
        <v>46</v>
      </c>
    </row>
    <row r="751" spans="1:16" ht="26" x14ac:dyDescent="0.3">
      <c r="B751" s="591"/>
      <c r="C751" s="596" t="s">
        <v>619</v>
      </c>
      <c r="D751" s="163" t="s">
        <v>885</v>
      </c>
      <c r="E751" s="275" t="s">
        <v>970</v>
      </c>
      <c r="F751" s="464">
        <v>1</v>
      </c>
      <c r="G751" s="240" t="str">
        <f t="shared" si="133"/>
        <v/>
      </c>
      <c r="H751" s="249">
        <v>6435</v>
      </c>
      <c r="I751" s="358">
        <f t="shared" si="134"/>
        <v>5851.5958897881246</v>
      </c>
      <c r="J751" s="358">
        <f t="shared" si="135"/>
        <v>5851.5958897881246</v>
      </c>
      <c r="K751" s="324">
        <f t="shared" si="136"/>
        <v>21621.599999999999</v>
      </c>
      <c r="L751" s="321" t="e">
        <f>IF(N751="Заказчика",N751,INDEX(#REF!,MATCH(C751,#REF!,0)))</f>
        <v>#REF!</v>
      </c>
      <c r="M751" s="450"/>
      <c r="N751" s="145" t="e">
        <f>IF(ISNA(MATCH(C751,#REF!,0)),"",INDEX(#REF!,MATCH(C751,#REF!,0)))</f>
        <v>#REF!</v>
      </c>
      <c r="O751" s="146" t="e">
        <f>SUMIF(#REF!,C751,#REF!)</f>
        <v>#REF!</v>
      </c>
      <c r="P751" s="146" t="s">
        <v>46</v>
      </c>
    </row>
    <row r="752" spans="1:16" ht="26" x14ac:dyDescent="0.3">
      <c r="B752" s="591"/>
      <c r="C752" s="596" t="s">
        <v>620</v>
      </c>
      <c r="D752" s="163" t="s">
        <v>886</v>
      </c>
      <c r="E752" s="275" t="s">
        <v>970</v>
      </c>
      <c r="F752" s="464">
        <v>1</v>
      </c>
      <c r="G752" s="240" t="str">
        <f t="shared" si="133"/>
        <v/>
      </c>
      <c r="H752" s="249">
        <v>4807</v>
      </c>
      <c r="I752" s="358">
        <f t="shared" si="134"/>
        <v>4371.1921433118123</v>
      </c>
      <c r="J752" s="358">
        <f t="shared" si="135"/>
        <v>4371.1921433118123</v>
      </c>
      <c r="K752" s="324">
        <f t="shared" si="136"/>
        <v>16151.519999999999</v>
      </c>
      <c r="L752" s="321" t="e">
        <f>IF(N752="Заказчика",N752,INDEX(#REF!,MATCH(C752,#REF!,0)))</f>
        <v>#REF!</v>
      </c>
      <c r="M752" s="450"/>
      <c r="N752" s="145" t="e">
        <f>IF(ISNA(MATCH(C752,#REF!,0)),"",INDEX(#REF!,MATCH(C752,#REF!,0)))</f>
        <v>#REF!</v>
      </c>
      <c r="O752" s="146" t="e">
        <f>SUMIF(#REF!,C752,#REF!)</f>
        <v>#REF!</v>
      </c>
      <c r="P752" s="146" t="s">
        <v>46</v>
      </c>
    </row>
    <row r="753" spans="2:16" x14ac:dyDescent="0.3">
      <c r="B753" s="591"/>
      <c r="C753" s="596" t="s">
        <v>621</v>
      </c>
      <c r="D753" s="163" t="s">
        <v>887</v>
      </c>
      <c r="E753" s="275" t="s">
        <v>970</v>
      </c>
      <c r="F753" s="464">
        <v>1</v>
      </c>
      <c r="G753" s="240" t="str">
        <f t="shared" si="133"/>
        <v/>
      </c>
      <c r="H753" s="249">
        <v>4600</v>
      </c>
      <c r="I753" s="358">
        <f t="shared" si="134"/>
        <v>4182.9589888151322</v>
      </c>
      <c r="J753" s="358">
        <f t="shared" si="135"/>
        <v>4182.9589888151322</v>
      </c>
      <c r="K753" s="324">
        <f t="shared" si="136"/>
        <v>15456</v>
      </c>
      <c r="L753" s="321" t="e">
        <f>IF(N753="Заказчика",N753,INDEX(#REF!,MATCH(C753,#REF!,0)))</f>
        <v>#REF!</v>
      </c>
      <c r="M753" s="450"/>
      <c r="N753" s="145" t="e">
        <f>IF(ISNA(MATCH(C753,#REF!,0)),"",INDEX(#REF!,MATCH(C753,#REF!,0)))</f>
        <v>#REF!</v>
      </c>
      <c r="O753" s="146" t="e">
        <f>SUMIF(#REF!,C753,#REF!)</f>
        <v>#REF!</v>
      </c>
      <c r="P753" s="146" t="s">
        <v>46</v>
      </c>
    </row>
    <row r="754" spans="2:16" x14ac:dyDescent="0.3">
      <c r="B754" s="591"/>
      <c r="C754" s="596" t="s">
        <v>622</v>
      </c>
      <c r="D754" s="163" t="s">
        <v>888</v>
      </c>
      <c r="E754" s="275" t="s">
        <v>970</v>
      </c>
      <c r="F754" s="464">
        <v>3</v>
      </c>
      <c r="G754" s="240" t="str">
        <f t="shared" si="133"/>
        <v/>
      </c>
      <c r="H754" s="249">
        <v>759</v>
      </c>
      <c r="I754" s="358">
        <f t="shared" si="134"/>
        <v>690.18823315449674</v>
      </c>
      <c r="J754" s="358">
        <f t="shared" si="135"/>
        <v>230.06274438483226</v>
      </c>
      <c r="K754" s="324">
        <f t="shared" si="136"/>
        <v>2550.2399999999998</v>
      </c>
      <c r="L754" s="321" t="e">
        <f>IF(N754="Заказчика",N754,INDEX(#REF!,MATCH(C754,#REF!,0)))</f>
        <v>#REF!</v>
      </c>
      <c r="M754" s="450"/>
      <c r="N754" s="145" t="e">
        <f>IF(ISNA(MATCH(C754,#REF!,0)),"",INDEX(#REF!,MATCH(C754,#REF!,0)))</f>
        <v>#REF!</v>
      </c>
      <c r="O754" s="146" t="e">
        <f>SUMIF(#REF!,C754,#REF!)</f>
        <v>#REF!</v>
      </c>
      <c r="P754" s="146" t="s">
        <v>46</v>
      </c>
    </row>
    <row r="755" spans="2:16" x14ac:dyDescent="0.3">
      <c r="B755" s="591"/>
      <c r="C755" s="596" t="s">
        <v>623</v>
      </c>
      <c r="D755" s="163" t="s">
        <v>889</v>
      </c>
      <c r="E755" s="275" t="s">
        <v>970</v>
      </c>
      <c r="F755" s="464">
        <v>1</v>
      </c>
      <c r="G755" s="240" t="str">
        <f t="shared" si="133"/>
        <v/>
      </c>
      <c r="H755" s="249">
        <v>2222</v>
      </c>
      <c r="I755" s="358">
        <f t="shared" si="134"/>
        <v>2020.551059379831</v>
      </c>
      <c r="J755" s="358">
        <f t="shared" si="135"/>
        <v>2020.551059379831</v>
      </c>
      <c r="K755" s="324">
        <f t="shared" si="136"/>
        <v>7465.92</v>
      </c>
      <c r="L755" s="321" t="e">
        <f>IF(N755="Заказчика",N755,INDEX(#REF!,MATCH(C755,#REF!,0)))</f>
        <v>#REF!</v>
      </c>
      <c r="M755" s="450"/>
      <c r="N755" s="145" t="e">
        <f>IF(ISNA(MATCH(C755,#REF!,0)),"",INDEX(#REF!,MATCH(C755,#REF!,0)))</f>
        <v>#REF!</v>
      </c>
      <c r="O755" s="146" t="e">
        <f>SUMIF(#REF!,C755,#REF!)</f>
        <v>#REF!</v>
      </c>
      <c r="P755" s="146" t="s">
        <v>46</v>
      </c>
    </row>
    <row r="756" spans="2:16" x14ac:dyDescent="0.3">
      <c r="B756" s="591"/>
      <c r="C756" s="596" t="s">
        <v>624</v>
      </c>
      <c r="D756" s="163" t="s">
        <v>890</v>
      </c>
      <c r="E756" s="275" t="s">
        <v>970</v>
      </c>
      <c r="F756" s="464">
        <v>10</v>
      </c>
      <c r="G756" s="240" t="str">
        <f t="shared" si="133"/>
        <v/>
      </c>
      <c r="H756" s="249">
        <v>2413</v>
      </c>
      <c r="I756" s="358">
        <f t="shared" si="134"/>
        <v>2194.2347913067201</v>
      </c>
      <c r="J756" s="358">
        <f t="shared" si="135"/>
        <v>219.42347913067201</v>
      </c>
      <c r="K756" s="324">
        <f t="shared" si="136"/>
        <v>8107.6799999999994</v>
      </c>
      <c r="L756" s="321" t="e">
        <f>IF(N756="Заказчика",N756,INDEX(#REF!,MATCH(C756,#REF!,0)))</f>
        <v>#REF!</v>
      </c>
      <c r="M756" s="450"/>
      <c r="N756" s="145" t="e">
        <f>IF(ISNA(MATCH(C756,#REF!,0)),"",INDEX(#REF!,MATCH(C756,#REF!,0)))</f>
        <v>#REF!</v>
      </c>
      <c r="O756" s="146" t="e">
        <f>SUMIF(#REF!,C756,#REF!)</f>
        <v>#REF!</v>
      </c>
      <c r="P756" s="146" t="s">
        <v>46</v>
      </c>
    </row>
    <row r="757" spans="2:16" x14ac:dyDescent="0.3">
      <c r="B757" s="591"/>
      <c r="C757" s="596" t="s">
        <v>625</v>
      </c>
      <c r="D757" s="163" t="s">
        <v>891</v>
      </c>
      <c r="E757" s="275" t="s">
        <v>970</v>
      </c>
      <c r="F757" s="464">
        <v>2</v>
      </c>
      <c r="G757" s="240" t="str">
        <f t="shared" si="133"/>
        <v/>
      </c>
      <c r="H757" s="246">
        <v>1840</v>
      </c>
      <c r="I757" s="355">
        <f t="shared" si="134"/>
        <v>1673.1835955260526</v>
      </c>
      <c r="J757" s="355">
        <f t="shared" si="135"/>
        <v>836.59179776302631</v>
      </c>
      <c r="K757" s="324">
        <f t="shared" si="136"/>
        <v>6182.4</v>
      </c>
      <c r="L757" s="321" t="e">
        <f>IF(N757="Заказчика",N757,INDEX(#REF!,MATCH(C757,#REF!,0)))</f>
        <v>#REF!</v>
      </c>
      <c r="M757" s="450"/>
      <c r="N757" s="145" t="e">
        <f>IF(ISNA(MATCH(C757,#REF!,0)),"",INDEX(#REF!,MATCH(C757,#REF!,0)))</f>
        <v>#REF!</v>
      </c>
      <c r="O757" s="146" t="e">
        <f>SUMIF(#REF!,C757,#REF!)</f>
        <v>#REF!</v>
      </c>
      <c r="P757" s="146" t="s">
        <v>46</v>
      </c>
    </row>
    <row r="758" spans="2:16" x14ac:dyDescent="0.3">
      <c r="B758" s="591"/>
      <c r="C758" s="596" t="s">
        <v>626</v>
      </c>
      <c r="D758" s="163" t="s">
        <v>892</v>
      </c>
      <c r="E758" s="275" t="s">
        <v>970</v>
      </c>
      <c r="F758" s="464">
        <v>2</v>
      </c>
      <c r="G758" s="240" t="str">
        <f t="shared" si="133"/>
        <v/>
      </c>
      <c r="H758" s="249">
        <v>2070</v>
      </c>
      <c r="I758" s="358">
        <f t="shared" si="134"/>
        <v>1882.3315449668094</v>
      </c>
      <c r="J758" s="358">
        <f t="shared" si="135"/>
        <v>941.16577248340468</v>
      </c>
      <c r="K758" s="324">
        <f t="shared" si="136"/>
        <v>6955.2</v>
      </c>
      <c r="L758" s="321" t="e">
        <f>IF(N758="Заказчика",N758,INDEX(#REF!,MATCH(C758,#REF!,0)))</f>
        <v>#REF!</v>
      </c>
      <c r="M758" s="450"/>
      <c r="N758" s="145" t="e">
        <f>IF(ISNA(MATCH(C758,#REF!,0)),"",INDEX(#REF!,MATCH(C758,#REF!,0)))</f>
        <v>#REF!</v>
      </c>
      <c r="O758" s="146" t="e">
        <f>SUMIF(#REF!,C758,#REF!)</f>
        <v>#REF!</v>
      </c>
      <c r="P758" s="146" t="s">
        <v>46</v>
      </c>
    </row>
    <row r="759" spans="2:16" x14ac:dyDescent="0.3">
      <c r="B759" s="162"/>
      <c r="C759" s="274"/>
      <c r="D759" s="163" t="s">
        <v>893</v>
      </c>
      <c r="E759" s="275"/>
      <c r="F759" s="464"/>
      <c r="G759" s="240"/>
      <c r="H759" s="243"/>
      <c r="I759" s="354"/>
      <c r="J759" s="354"/>
      <c r="K759" s="186"/>
      <c r="L759" s="186" t="e">
        <f>K759-O759</f>
        <v>#REF!</v>
      </c>
      <c r="M759" s="450"/>
      <c r="N759" s="157" t="e">
        <f>IF(ISNA(MATCH(C759,#REF!,0)),"",INDEX(#REF!,MATCH(C759,#REF!,0)))</f>
        <v>#REF!</v>
      </c>
      <c r="O759" s="158" t="e">
        <f>SUMIF(#REF!,C759,#REF!)</f>
        <v>#REF!</v>
      </c>
      <c r="P759" s="158" t="s">
        <v>46</v>
      </c>
    </row>
    <row r="760" spans="2:16" ht="26" x14ac:dyDescent="0.3">
      <c r="B760" s="591"/>
      <c r="C760" s="596" t="s">
        <v>627</v>
      </c>
      <c r="D760" s="163" t="s">
        <v>876</v>
      </c>
      <c r="E760" s="275" t="s">
        <v>970</v>
      </c>
      <c r="F760" s="464">
        <v>1</v>
      </c>
      <c r="G760" s="240" t="str">
        <f t="shared" ref="G760:G771" si="137">IF(ISERR(L760/F760),"",K760/F760)</f>
        <v/>
      </c>
      <c r="H760" s="249">
        <v>9247</v>
      </c>
      <c r="I760" s="358">
        <f t="shared" ref="I760:I771" si="138">H760/1.0997</f>
        <v>8408.656906429027</v>
      </c>
      <c r="J760" s="358">
        <f t="shared" ref="J760:J771" si="139">I760/F760</f>
        <v>8408.656906429027</v>
      </c>
      <c r="K760" s="324">
        <f t="shared" ref="K760:K771" si="140">H760*$C$6</f>
        <v>31069.919999999998</v>
      </c>
      <c r="L760" s="321" t="e">
        <f>IF(N760="Заказчика",N760,INDEX(#REF!,MATCH(C760,#REF!,0)))</f>
        <v>#REF!</v>
      </c>
      <c r="M760" s="450"/>
      <c r="N760" s="145" t="e">
        <f>IF(ISNA(MATCH(C760,#REF!,0)),"",INDEX(#REF!,MATCH(C760,#REF!,0)))</f>
        <v>#REF!</v>
      </c>
      <c r="O760" s="146" t="e">
        <f>SUMIF(#REF!,C760,#REF!)</f>
        <v>#REF!</v>
      </c>
      <c r="P760" s="146" t="s">
        <v>46</v>
      </c>
    </row>
    <row r="761" spans="2:16" x14ac:dyDescent="0.3">
      <c r="B761" s="591"/>
      <c r="C761" s="596" t="s">
        <v>628</v>
      </c>
      <c r="D761" s="163" t="s">
        <v>877</v>
      </c>
      <c r="E761" s="275" t="s">
        <v>970</v>
      </c>
      <c r="F761" s="464">
        <v>1</v>
      </c>
      <c r="G761" s="240" t="str">
        <f t="shared" si="137"/>
        <v/>
      </c>
      <c r="H761" s="246">
        <v>69119</v>
      </c>
      <c r="I761" s="355">
        <f t="shared" si="138"/>
        <v>62852.596162589805</v>
      </c>
      <c r="J761" s="355">
        <f t="shared" si="139"/>
        <v>62852.596162589805</v>
      </c>
      <c r="K761" s="324">
        <f t="shared" si="140"/>
        <v>232239.84</v>
      </c>
      <c r="L761" s="321" t="e">
        <f>IF(N761="Заказчика",N761,INDEX(#REF!,MATCH(C761,#REF!,0)))</f>
        <v>#REF!</v>
      </c>
      <c r="M761" s="450"/>
      <c r="N761" s="145" t="e">
        <f>IF(ISNA(MATCH(C761,#REF!,0)),"",INDEX(#REF!,MATCH(C761,#REF!,0)))</f>
        <v>#REF!</v>
      </c>
      <c r="O761" s="146" t="e">
        <f>SUMIF(#REF!,C761,#REF!)</f>
        <v>#REF!</v>
      </c>
      <c r="P761" s="146" t="s">
        <v>46</v>
      </c>
    </row>
    <row r="762" spans="2:16" x14ac:dyDescent="0.3">
      <c r="B762" s="591"/>
      <c r="C762" s="596" t="s">
        <v>629</v>
      </c>
      <c r="D762" s="163" t="s">
        <v>878</v>
      </c>
      <c r="E762" s="275" t="s">
        <v>970</v>
      </c>
      <c r="F762" s="464">
        <v>1</v>
      </c>
      <c r="G762" s="240" t="str">
        <f t="shared" si="137"/>
        <v/>
      </c>
      <c r="H762" s="246">
        <v>7346</v>
      </c>
      <c r="I762" s="355">
        <f t="shared" si="138"/>
        <v>6680.0036373556431</v>
      </c>
      <c r="J762" s="355">
        <f t="shared" si="139"/>
        <v>6680.0036373556431</v>
      </c>
      <c r="K762" s="324">
        <f t="shared" si="140"/>
        <v>24682.559999999998</v>
      </c>
      <c r="L762" s="321" t="e">
        <f>IF(N762="Заказчика",N762,INDEX(#REF!,MATCH(C762,#REF!,0)))</f>
        <v>#REF!</v>
      </c>
      <c r="M762" s="450"/>
      <c r="N762" s="145" t="e">
        <f>IF(ISNA(MATCH(C762,#REF!,0)),"",INDEX(#REF!,MATCH(C762,#REF!,0)))</f>
        <v>#REF!</v>
      </c>
      <c r="O762" s="146" t="e">
        <f>SUMIF(#REF!,C762,#REF!)</f>
        <v>#REF!</v>
      </c>
      <c r="P762" s="146" t="s">
        <v>46</v>
      </c>
    </row>
    <row r="763" spans="2:16" ht="26" x14ac:dyDescent="0.3">
      <c r="B763" s="591"/>
      <c r="C763" s="596" t="s">
        <v>630</v>
      </c>
      <c r="D763" s="163" t="s">
        <v>880</v>
      </c>
      <c r="E763" s="275" t="s">
        <v>970</v>
      </c>
      <c r="F763" s="464">
        <v>1</v>
      </c>
      <c r="G763" s="240" t="str">
        <f t="shared" si="137"/>
        <v/>
      </c>
      <c r="H763" s="246">
        <v>12872</v>
      </c>
      <c r="I763" s="355">
        <f t="shared" si="138"/>
        <v>11705.010457397473</v>
      </c>
      <c r="J763" s="355">
        <f t="shared" si="139"/>
        <v>11705.010457397473</v>
      </c>
      <c r="K763" s="324">
        <f t="shared" si="140"/>
        <v>43249.919999999998</v>
      </c>
      <c r="L763" s="321" t="e">
        <f>IF(N763="Заказчика",N763,INDEX(#REF!,MATCH(C763,#REF!,0)))</f>
        <v>#REF!</v>
      </c>
      <c r="M763" s="450"/>
      <c r="N763" s="145" t="e">
        <f>IF(ISNA(MATCH(C763,#REF!,0)),"",INDEX(#REF!,MATCH(C763,#REF!,0)))</f>
        <v>#REF!</v>
      </c>
      <c r="O763" s="146" t="e">
        <f>SUMIF(#REF!,C763,#REF!)</f>
        <v>#REF!</v>
      </c>
      <c r="P763" s="146" t="s">
        <v>46</v>
      </c>
    </row>
    <row r="764" spans="2:16" x14ac:dyDescent="0.3">
      <c r="B764" s="591"/>
      <c r="C764" s="596" t="s">
        <v>631</v>
      </c>
      <c r="D764" s="163" t="s">
        <v>881</v>
      </c>
      <c r="E764" s="275" t="s">
        <v>970</v>
      </c>
      <c r="F764" s="464">
        <v>1</v>
      </c>
      <c r="G764" s="240" t="str">
        <f t="shared" si="137"/>
        <v/>
      </c>
      <c r="H764" s="246">
        <v>23823</v>
      </c>
      <c r="I764" s="355">
        <f t="shared" si="138"/>
        <v>21663.180867509323</v>
      </c>
      <c r="J764" s="355">
        <f t="shared" si="139"/>
        <v>21663.180867509323</v>
      </c>
      <c r="K764" s="324">
        <f t="shared" si="140"/>
        <v>80045.279999999999</v>
      </c>
      <c r="L764" s="321" t="e">
        <f>IF(N764="Заказчика",N764,INDEX(#REF!,MATCH(C764,#REF!,0)))</f>
        <v>#REF!</v>
      </c>
      <c r="M764" s="450"/>
      <c r="N764" s="145" t="e">
        <f>IF(ISNA(MATCH(C764,#REF!,0)),"",INDEX(#REF!,MATCH(C764,#REF!,0)))</f>
        <v>#REF!</v>
      </c>
      <c r="O764" s="146" t="e">
        <f>SUMIF(#REF!,C764,#REF!)</f>
        <v>#REF!</v>
      </c>
      <c r="P764" s="146" t="s">
        <v>46</v>
      </c>
    </row>
    <row r="765" spans="2:16" x14ac:dyDescent="0.3">
      <c r="B765" s="591"/>
      <c r="C765" s="596" t="s">
        <v>632</v>
      </c>
      <c r="D765" s="163" t="s">
        <v>882</v>
      </c>
      <c r="E765" s="275" t="s">
        <v>970</v>
      </c>
      <c r="F765" s="464">
        <v>1</v>
      </c>
      <c r="G765" s="240" t="str">
        <f t="shared" si="137"/>
        <v/>
      </c>
      <c r="H765" s="249">
        <v>24723</v>
      </c>
      <c r="I765" s="358">
        <f t="shared" si="138"/>
        <v>22481.585887060108</v>
      </c>
      <c r="J765" s="358">
        <f t="shared" si="139"/>
        <v>22481.585887060108</v>
      </c>
      <c r="K765" s="324">
        <f t="shared" si="140"/>
        <v>83069.279999999999</v>
      </c>
      <c r="L765" s="321" t="e">
        <f>IF(N765="Заказчика",N765,INDEX(#REF!,MATCH(C765,#REF!,0)))</f>
        <v>#REF!</v>
      </c>
      <c r="M765" s="450"/>
      <c r="N765" s="145" t="e">
        <f>IF(ISNA(MATCH(C765,#REF!,0)),"",INDEX(#REF!,MATCH(C765,#REF!,0)))</f>
        <v>#REF!</v>
      </c>
      <c r="O765" s="146" t="e">
        <f>SUMIF(#REF!,C765,#REF!)</f>
        <v>#REF!</v>
      </c>
      <c r="P765" s="146" t="s">
        <v>46</v>
      </c>
    </row>
    <row r="766" spans="2:16" x14ac:dyDescent="0.3">
      <c r="B766" s="591"/>
      <c r="C766" s="596" t="s">
        <v>633</v>
      </c>
      <c r="D766" s="163" t="s">
        <v>883</v>
      </c>
      <c r="E766" s="275" t="s">
        <v>970</v>
      </c>
      <c r="F766" s="464">
        <v>1</v>
      </c>
      <c r="G766" s="240" t="str">
        <f t="shared" si="137"/>
        <v/>
      </c>
      <c r="H766" s="246">
        <v>1917424</v>
      </c>
      <c r="I766" s="355">
        <f t="shared" si="138"/>
        <v>1743588.2513412749</v>
      </c>
      <c r="J766" s="355">
        <f t="shared" si="139"/>
        <v>1743588.2513412749</v>
      </c>
      <c r="K766" s="324">
        <f t="shared" si="140"/>
        <v>6442544.6399999997</v>
      </c>
      <c r="L766" s="321" t="e">
        <f>IF(N766="Заказчика",N766,INDEX(#REF!,MATCH(C766,#REF!,0)))</f>
        <v>#REF!</v>
      </c>
      <c r="M766" s="450"/>
      <c r="N766" s="145" t="e">
        <f>IF(ISNA(MATCH(C766,#REF!,0)),"",INDEX(#REF!,MATCH(C766,#REF!,0)))</f>
        <v>#REF!</v>
      </c>
      <c r="O766" s="146" t="e">
        <f>SUMIF(#REF!,C766,#REF!)</f>
        <v>#REF!</v>
      </c>
      <c r="P766" s="146" t="s">
        <v>46</v>
      </c>
    </row>
    <row r="767" spans="2:16" ht="26" x14ac:dyDescent="0.3">
      <c r="B767" s="591"/>
      <c r="C767" s="596" t="s">
        <v>634</v>
      </c>
      <c r="D767" s="163" t="s">
        <v>884</v>
      </c>
      <c r="E767" s="275" t="s">
        <v>970</v>
      </c>
      <c r="F767" s="464">
        <v>2</v>
      </c>
      <c r="G767" s="240" t="str">
        <f t="shared" si="137"/>
        <v/>
      </c>
      <c r="H767" s="246">
        <v>10151</v>
      </c>
      <c r="I767" s="355">
        <f t="shared" si="138"/>
        <v>9230.699281622261</v>
      </c>
      <c r="J767" s="355">
        <f t="shared" si="139"/>
        <v>4615.3496408111305</v>
      </c>
      <c r="K767" s="324">
        <f t="shared" si="140"/>
        <v>34107.360000000001</v>
      </c>
      <c r="L767" s="321" t="e">
        <f>IF(N767="Заказчика",N767,INDEX(#REF!,MATCH(C767,#REF!,0)))</f>
        <v>#REF!</v>
      </c>
      <c r="M767" s="450"/>
      <c r="N767" s="145" t="e">
        <f>IF(ISNA(MATCH(C767,#REF!,0)),"",INDEX(#REF!,MATCH(C767,#REF!,0)))</f>
        <v>#REF!</v>
      </c>
      <c r="O767" s="146" t="e">
        <f>SUMIF(#REF!,C767,#REF!)</f>
        <v>#REF!</v>
      </c>
      <c r="P767" s="146" t="s">
        <v>46</v>
      </c>
    </row>
    <row r="768" spans="2:16" ht="26" x14ac:dyDescent="0.3">
      <c r="B768" s="591"/>
      <c r="C768" s="596" t="s">
        <v>635</v>
      </c>
      <c r="D768" s="163" t="s">
        <v>894</v>
      </c>
      <c r="E768" s="275" t="s">
        <v>970</v>
      </c>
      <c r="F768" s="464">
        <v>1</v>
      </c>
      <c r="G768" s="240" t="str">
        <f t="shared" si="137"/>
        <v/>
      </c>
      <c r="H768" s="249">
        <v>162756</v>
      </c>
      <c r="I768" s="358">
        <f t="shared" si="138"/>
        <v>148000.36373556426</v>
      </c>
      <c r="J768" s="358">
        <f t="shared" si="139"/>
        <v>148000.36373556426</v>
      </c>
      <c r="K768" s="324">
        <f t="shared" si="140"/>
        <v>546860.16</v>
      </c>
      <c r="L768" s="321" t="e">
        <f>IF(N768="Заказчика",N768,INDEX(#REF!,MATCH(C768,#REF!,0)))</f>
        <v>#REF!</v>
      </c>
      <c r="M768" s="450"/>
      <c r="N768" s="145" t="e">
        <f>IF(ISNA(MATCH(C768,#REF!,0)),"",INDEX(#REF!,MATCH(C768,#REF!,0)))</f>
        <v>#REF!</v>
      </c>
      <c r="O768" s="146" t="e">
        <f>SUMIF(#REF!,C768,#REF!)</f>
        <v>#REF!</v>
      </c>
      <c r="P768" s="146" t="s">
        <v>46</v>
      </c>
    </row>
    <row r="769" spans="2:16" x14ac:dyDescent="0.3">
      <c r="B769" s="591"/>
      <c r="C769" s="596" t="s">
        <v>636</v>
      </c>
      <c r="D769" s="163" t="s">
        <v>888</v>
      </c>
      <c r="E769" s="275" t="s">
        <v>970</v>
      </c>
      <c r="F769" s="464">
        <v>3</v>
      </c>
      <c r="G769" s="240" t="str">
        <f t="shared" si="137"/>
        <v/>
      </c>
      <c r="H769" s="246">
        <v>759</v>
      </c>
      <c r="I769" s="355">
        <f t="shared" si="138"/>
        <v>690.18823315449674</v>
      </c>
      <c r="J769" s="355">
        <f t="shared" si="139"/>
        <v>230.06274438483226</v>
      </c>
      <c r="K769" s="324">
        <f t="shared" si="140"/>
        <v>2550.2399999999998</v>
      </c>
      <c r="L769" s="321" t="e">
        <f>IF(N769="Заказчика",N769,INDEX(#REF!,MATCH(C769,#REF!,0)))</f>
        <v>#REF!</v>
      </c>
      <c r="M769" s="450"/>
      <c r="N769" s="145" t="e">
        <f>IF(ISNA(MATCH(C769,#REF!,0)),"",INDEX(#REF!,MATCH(C769,#REF!,0)))</f>
        <v>#REF!</v>
      </c>
      <c r="O769" s="146" t="e">
        <f>SUMIF(#REF!,C769,#REF!)</f>
        <v>#REF!</v>
      </c>
      <c r="P769" s="146" t="s">
        <v>46</v>
      </c>
    </row>
    <row r="770" spans="2:16" x14ac:dyDescent="0.3">
      <c r="B770" s="591"/>
      <c r="C770" s="596" t="s">
        <v>637</v>
      </c>
      <c r="D770" s="59" t="s">
        <v>889</v>
      </c>
      <c r="E770" s="275" t="s">
        <v>970</v>
      </c>
      <c r="F770" s="464">
        <v>1</v>
      </c>
      <c r="G770" s="240" t="str">
        <f t="shared" si="137"/>
        <v/>
      </c>
      <c r="H770" s="246">
        <v>2222</v>
      </c>
      <c r="I770" s="355">
        <f t="shared" si="138"/>
        <v>2020.551059379831</v>
      </c>
      <c r="J770" s="355">
        <f t="shared" si="139"/>
        <v>2020.551059379831</v>
      </c>
      <c r="K770" s="324">
        <f t="shared" si="140"/>
        <v>7465.92</v>
      </c>
      <c r="L770" s="321" t="e">
        <f>IF(N770="Заказчика",N770,INDEX(#REF!,MATCH(C770,#REF!,0)))</f>
        <v>#REF!</v>
      </c>
      <c r="M770" s="450"/>
      <c r="N770" s="145" t="e">
        <f>IF(ISNA(MATCH(C770,#REF!,0)),"",INDEX(#REF!,MATCH(C770,#REF!,0)))</f>
        <v>#REF!</v>
      </c>
      <c r="O770" s="146" t="e">
        <f>SUMIF(#REF!,C770,#REF!)</f>
        <v>#REF!</v>
      </c>
      <c r="P770" s="146" t="s">
        <v>46</v>
      </c>
    </row>
    <row r="771" spans="2:16" x14ac:dyDescent="0.3">
      <c r="B771" s="591"/>
      <c r="C771" s="596" t="s">
        <v>638</v>
      </c>
      <c r="D771" s="163" t="s">
        <v>890</v>
      </c>
      <c r="E771" s="275" t="s">
        <v>970</v>
      </c>
      <c r="F771" s="464">
        <v>5</v>
      </c>
      <c r="G771" s="240" t="str">
        <f t="shared" si="137"/>
        <v/>
      </c>
      <c r="H771" s="246">
        <v>1206</v>
      </c>
      <c r="I771" s="355">
        <f t="shared" si="138"/>
        <v>1096.6627261980541</v>
      </c>
      <c r="J771" s="355">
        <f t="shared" si="139"/>
        <v>219.33254523961082</v>
      </c>
      <c r="K771" s="324">
        <f t="shared" si="140"/>
        <v>4052.16</v>
      </c>
      <c r="L771" s="321" t="e">
        <f>IF(N771="Заказчика",N771,INDEX(#REF!,MATCH(C771,#REF!,0)))</f>
        <v>#REF!</v>
      </c>
      <c r="M771" s="450"/>
      <c r="N771" s="145" t="e">
        <f>IF(ISNA(MATCH(C771,#REF!,0)),"",INDEX(#REF!,MATCH(C771,#REF!,0)))</f>
        <v>#REF!</v>
      </c>
      <c r="O771" s="146" t="e">
        <f>SUMIF(#REF!,C771,#REF!)</f>
        <v>#REF!</v>
      </c>
      <c r="P771" s="146" t="s">
        <v>46</v>
      </c>
    </row>
    <row r="772" spans="2:16" ht="26" x14ac:dyDescent="0.3">
      <c r="B772" s="162"/>
      <c r="C772" s="274"/>
      <c r="D772" s="163" t="s">
        <v>895</v>
      </c>
      <c r="E772" s="275"/>
      <c r="F772" s="464"/>
      <c r="G772" s="240"/>
      <c r="H772" s="243"/>
      <c r="I772" s="354"/>
      <c r="J772" s="354"/>
      <c r="K772" s="186"/>
      <c r="L772" s="186" t="e">
        <f>K772-O772</f>
        <v>#REF!</v>
      </c>
      <c r="M772" s="461"/>
      <c r="N772" s="157" t="e">
        <f>IF(ISNA(MATCH(C772,#REF!,0)),"",INDEX(#REF!,MATCH(C772,#REF!,0)))</f>
        <v>#REF!</v>
      </c>
      <c r="O772" s="158" t="e">
        <f>SUMIF(#REF!,C772,#REF!)</f>
        <v>#REF!</v>
      </c>
      <c r="P772" s="158" t="s">
        <v>46</v>
      </c>
    </row>
    <row r="773" spans="2:16" x14ac:dyDescent="0.3">
      <c r="B773" s="591"/>
      <c r="C773" s="596" t="s">
        <v>639</v>
      </c>
      <c r="D773" s="163" t="s">
        <v>896</v>
      </c>
      <c r="E773" s="275" t="s">
        <v>970</v>
      </c>
      <c r="F773" s="464">
        <v>1</v>
      </c>
      <c r="G773" s="240" t="str">
        <f t="shared" ref="G773:G782" si="141">IF(ISERR(L773/F773),"",K773/F773)</f>
        <v/>
      </c>
      <c r="H773" s="246">
        <v>18254</v>
      </c>
      <c r="I773" s="355">
        <f t="shared" ref="I773:I782" si="142">H773/1.0997</f>
        <v>16599.072474311179</v>
      </c>
      <c r="J773" s="355">
        <f t="shared" ref="J773:J782" si="143">I773/F773</f>
        <v>16599.072474311179</v>
      </c>
      <c r="K773" s="324">
        <f t="shared" ref="K773:K782" si="144">H773*$C$6</f>
        <v>61333.439999999995</v>
      </c>
      <c r="L773" s="321" t="e">
        <f>IF(N773="Заказчика",N773,INDEX(#REF!,MATCH(C773,#REF!,0)))</f>
        <v>#REF!</v>
      </c>
      <c r="M773" s="450"/>
      <c r="N773" s="145" t="e">
        <f>IF(ISNA(MATCH(C773,#REF!,0)),"",INDEX(#REF!,MATCH(C773,#REF!,0)))</f>
        <v>#REF!</v>
      </c>
      <c r="O773" s="146" t="e">
        <f>SUMIF(#REF!,C773,#REF!)</f>
        <v>#REF!</v>
      </c>
      <c r="P773" s="146" t="s">
        <v>46</v>
      </c>
    </row>
    <row r="774" spans="2:16" ht="26" x14ac:dyDescent="0.3">
      <c r="B774" s="591"/>
      <c r="C774" s="596" t="s">
        <v>640</v>
      </c>
      <c r="D774" s="163" t="s">
        <v>897</v>
      </c>
      <c r="E774" s="275" t="s">
        <v>970</v>
      </c>
      <c r="F774" s="464">
        <v>1</v>
      </c>
      <c r="G774" s="240" t="str">
        <f t="shared" si="141"/>
        <v/>
      </c>
      <c r="H774" s="249">
        <v>2268</v>
      </c>
      <c r="I774" s="358">
        <f t="shared" si="142"/>
        <v>2062.3806492679823</v>
      </c>
      <c r="J774" s="358">
        <f t="shared" si="143"/>
        <v>2062.3806492679823</v>
      </c>
      <c r="K774" s="324">
        <f t="shared" si="144"/>
        <v>7620.48</v>
      </c>
      <c r="L774" s="321" t="e">
        <f>IF(N774="Заказчика",N774,INDEX(#REF!,MATCH(C774,#REF!,0)))</f>
        <v>#REF!</v>
      </c>
      <c r="M774" s="450"/>
      <c r="N774" s="145" t="e">
        <f>IF(ISNA(MATCH(C774,#REF!,0)),"",INDEX(#REF!,MATCH(C774,#REF!,0)))</f>
        <v>#REF!</v>
      </c>
      <c r="O774" s="146" t="e">
        <f>SUMIF(#REF!,C774,#REF!)</f>
        <v>#REF!</v>
      </c>
      <c r="P774" s="146" t="s">
        <v>46</v>
      </c>
    </row>
    <row r="775" spans="2:16" ht="26" x14ac:dyDescent="0.3">
      <c r="B775" s="591"/>
      <c r="C775" s="596" t="s">
        <v>641</v>
      </c>
      <c r="D775" s="163" t="s">
        <v>898</v>
      </c>
      <c r="E775" s="275" t="s">
        <v>970</v>
      </c>
      <c r="F775" s="464">
        <v>3</v>
      </c>
      <c r="G775" s="240" t="str">
        <f t="shared" si="141"/>
        <v/>
      </c>
      <c r="H775" s="246">
        <v>4270</v>
      </c>
      <c r="I775" s="355">
        <f t="shared" si="142"/>
        <v>3882.8771483131768</v>
      </c>
      <c r="J775" s="355">
        <f t="shared" si="143"/>
        <v>1294.292382771059</v>
      </c>
      <c r="K775" s="324">
        <f t="shared" si="144"/>
        <v>14347.199999999999</v>
      </c>
      <c r="L775" s="321" t="e">
        <f>IF(N775="Заказчика",N775,INDEX(#REF!,MATCH(C775,#REF!,0)))</f>
        <v>#REF!</v>
      </c>
      <c r="M775" s="450"/>
      <c r="N775" s="145" t="e">
        <f>IF(ISNA(MATCH(C775,#REF!,0)),"",INDEX(#REF!,MATCH(C775,#REF!,0)))</f>
        <v>#REF!</v>
      </c>
      <c r="O775" s="146" t="e">
        <f>SUMIF(#REF!,C775,#REF!)</f>
        <v>#REF!</v>
      </c>
      <c r="P775" s="146" t="s">
        <v>46</v>
      </c>
    </row>
    <row r="776" spans="2:16" ht="26" x14ac:dyDescent="0.3">
      <c r="B776" s="591"/>
      <c r="C776" s="596" t="s">
        <v>642</v>
      </c>
      <c r="D776" s="163" t="s">
        <v>899</v>
      </c>
      <c r="E776" s="275" t="s">
        <v>970</v>
      </c>
      <c r="F776" s="464">
        <v>3</v>
      </c>
      <c r="G776" s="240" t="str">
        <f t="shared" si="141"/>
        <v/>
      </c>
      <c r="H776" s="249">
        <v>4891</v>
      </c>
      <c r="I776" s="358">
        <f t="shared" si="142"/>
        <v>4447.5766118032197</v>
      </c>
      <c r="J776" s="358">
        <f t="shared" si="143"/>
        <v>1482.52553726774</v>
      </c>
      <c r="K776" s="324">
        <f t="shared" si="144"/>
        <v>16433.759999999998</v>
      </c>
      <c r="L776" s="321" t="e">
        <f>IF(N776="Заказчика",N776,INDEX(#REF!,MATCH(C776,#REF!,0)))</f>
        <v>#REF!</v>
      </c>
      <c r="M776" s="450"/>
      <c r="N776" s="145" t="e">
        <f>IF(ISNA(MATCH(C776,#REF!,0)),"",INDEX(#REF!,MATCH(C776,#REF!,0)))</f>
        <v>#REF!</v>
      </c>
      <c r="O776" s="146" t="e">
        <f>SUMIF(#REF!,C776,#REF!)</f>
        <v>#REF!</v>
      </c>
      <c r="P776" s="146" t="s">
        <v>46</v>
      </c>
    </row>
    <row r="777" spans="2:16" ht="26" x14ac:dyDescent="0.3">
      <c r="B777" s="591"/>
      <c r="C777" s="596" t="s">
        <v>643</v>
      </c>
      <c r="D777" s="163" t="s">
        <v>900</v>
      </c>
      <c r="E777" s="275" t="s">
        <v>970</v>
      </c>
      <c r="F777" s="464">
        <v>2</v>
      </c>
      <c r="G777" s="240" t="str">
        <f t="shared" si="141"/>
        <v/>
      </c>
      <c r="H777" s="246">
        <v>172502</v>
      </c>
      <c r="I777" s="355">
        <f t="shared" si="142"/>
        <v>156862.78075838866</v>
      </c>
      <c r="J777" s="355">
        <f t="shared" si="143"/>
        <v>78431.39037919433</v>
      </c>
      <c r="K777" s="324">
        <f t="shared" si="144"/>
        <v>579606.72</v>
      </c>
      <c r="L777" s="321" t="e">
        <f>IF(N777="Заказчика",N777,INDEX(#REF!,MATCH(C777,#REF!,0)))</f>
        <v>#REF!</v>
      </c>
      <c r="M777" s="450"/>
      <c r="N777" s="145" t="e">
        <f>IF(ISNA(MATCH(C777,#REF!,0)),"",INDEX(#REF!,MATCH(C777,#REF!,0)))</f>
        <v>#REF!</v>
      </c>
      <c r="O777" s="146" t="e">
        <f>SUMIF(#REF!,C777,#REF!)</f>
        <v>#REF!</v>
      </c>
      <c r="P777" s="146" t="s">
        <v>46</v>
      </c>
    </row>
    <row r="778" spans="2:16" x14ac:dyDescent="0.3">
      <c r="B778" s="591"/>
      <c r="C778" s="596" t="s">
        <v>644</v>
      </c>
      <c r="D778" s="163" t="s">
        <v>901</v>
      </c>
      <c r="E778" s="275" t="s">
        <v>970</v>
      </c>
      <c r="F778" s="464">
        <v>1</v>
      </c>
      <c r="G778" s="240" t="str">
        <f t="shared" si="141"/>
        <v/>
      </c>
      <c r="H778" s="246">
        <v>38322</v>
      </c>
      <c r="I778" s="355">
        <f t="shared" si="142"/>
        <v>34847.685732472499</v>
      </c>
      <c r="J778" s="355">
        <f t="shared" si="143"/>
        <v>34847.685732472499</v>
      </c>
      <c r="K778" s="324">
        <f t="shared" si="144"/>
        <v>128761.92</v>
      </c>
      <c r="L778" s="321" t="e">
        <f>IF(N778="Заказчика",N778,INDEX(#REF!,MATCH(C778,#REF!,0)))</f>
        <v>#REF!</v>
      </c>
      <c r="M778" s="450"/>
      <c r="N778" s="145" t="e">
        <f>IF(ISNA(MATCH(C778,#REF!,0)),"",INDEX(#REF!,MATCH(C778,#REF!,0)))</f>
        <v>#REF!</v>
      </c>
      <c r="O778" s="146" t="e">
        <f>SUMIF(#REF!,C778,#REF!)</f>
        <v>#REF!</v>
      </c>
      <c r="P778" s="146" t="s">
        <v>46</v>
      </c>
    </row>
    <row r="779" spans="2:16" x14ac:dyDescent="0.3">
      <c r="B779" s="591"/>
      <c r="C779" s="596" t="s">
        <v>645</v>
      </c>
      <c r="D779" s="163" t="s">
        <v>902</v>
      </c>
      <c r="E779" s="275" t="s">
        <v>970</v>
      </c>
      <c r="F779" s="464">
        <v>1</v>
      </c>
      <c r="G779" s="240" t="str">
        <f t="shared" si="141"/>
        <v/>
      </c>
      <c r="H779" s="246">
        <v>107813</v>
      </c>
      <c r="I779" s="355">
        <f t="shared" si="142"/>
        <v>98038.555969809953</v>
      </c>
      <c r="J779" s="355">
        <f t="shared" si="143"/>
        <v>98038.555969809953</v>
      </c>
      <c r="K779" s="324">
        <f t="shared" si="144"/>
        <v>362251.68</v>
      </c>
      <c r="L779" s="321" t="e">
        <f>IF(N779="Заказчика",N779,INDEX(#REF!,MATCH(C779,#REF!,0)))</f>
        <v>#REF!</v>
      </c>
      <c r="M779" s="450"/>
      <c r="N779" s="145" t="e">
        <f>IF(ISNA(MATCH(C779,#REF!,0)),"",INDEX(#REF!,MATCH(C779,#REF!,0)))</f>
        <v>#REF!</v>
      </c>
      <c r="O779" s="146" t="e">
        <f>SUMIF(#REF!,C779,#REF!)</f>
        <v>#REF!</v>
      </c>
      <c r="P779" s="146" t="s">
        <v>46</v>
      </c>
    </row>
    <row r="780" spans="2:16" x14ac:dyDescent="0.3">
      <c r="B780" s="591"/>
      <c r="C780" s="596" t="s">
        <v>646</v>
      </c>
      <c r="D780" s="163" t="s">
        <v>903</v>
      </c>
      <c r="E780" s="275" t="s">
        <v>970</v>
      </c>
      <c r="F780" s="464">
        <v>1</v>
      </c>
      <c r="G780" s="240" t="str">
        <f t="shared" si="141"/>
        <v/>
      </c>
      <c r="H780" s="246">
        <v>104579</v>
      </c>
      <c r="I780" s="355">
        <f t="shared" si="142"/>
        <v>95097.753932890802</v>
      </c>
      <c r="J780" s="355">
        <f t="shared" si="143"/>
        <v>95097.753932890802</v>
      </c>
      <c r="K780" s="324">
        <f t="shared" si="144"/>
        <v>351385.44</v>
      </c>
      <c r="L780" s="321" t="e">
        <f>IF(N780="Заказчика",N780,INDEX(#REF!,MATCH(C780,#REF!,0)))</f>
        <v>#REF!</v>
      </c>
      <c r="M780" s="450"/>
      <c r="N780" s="145" t="e">
        <f>IF(ISNA(MATCH(C780,#REF!,0)),"",INDEX(#REF!,MATCH(C780,#REF!,0)))</f>
        <v>#REF!</v>
      </c>
      <c r="O780" s="146" t="e">
        <f>SUMIF(#REF!,C780,#REF!)</f>
        <v>#REF!</v>
      </c>
      <c r="P780" s="146" t="s">
        <v>46</v>
      </c>
    </row>
    <row r="781" spans="2:16" x14ac:dyDescent="0.3">
      <c r="B781" s="591"/>
      <c r="C781" s="596" t="s">
        <v>647</v>
      </c>
      <c r="D781" s="163" t="s">
        <v>904</v>
      </c>
      <c r="E781" s="275" t="s">
        <v>970</v>
      </c>
      <c r="F781" s="464">
        <v>1</v>
      </c>
      <c r="G781" s="240" t="str">
        <f t="shared" si="141"/>
        <v/>
      </c>
      <c r="H781" s="246">
        <v>9277</v>
      </c>
      <c r="I781" s="355">
        <f t="shared" si="142"/>
        <v>8435.9370737473855</v>
      </c>
      <c r="J781" s="355">
        <f t="shared" si="143"/>
        <v>8435.9370737473855</v>
      </c>
      <c r="K781" s="324">
        <f t="shared" si="144"/>
        <v>31170.719999999998</v>
      </c>
      <c r="L781" s="321" t="e">
        <f>IF(N781="Заказчика",N781,INDEX(#REF!,MATCH(C781,#REF!,0)))</f>
        <v>#REF!</v>
      </c>
      <c r="M781" s="450"/>
      <c r="N781" s="145" t="e">
        <f>IF(ISNA(MATCH(C781,#REF!,0)),"",INDEX(#REF!,MATCH(C781,#REF!,0)))</f>
        <v>#REF!</v>
      </c>
      <c r="O781" s="146" t="e">
        <f>SUMIF(#REF!,C781,#REF!)</f>
        <v>#REF!</v>
      </c>
      <c r="P781" s="146" t="s">
        <v>46</v>
      </c>
    </row>
    <row r="782" spans="2:16" x14ac:dyDescent="0.3">
      <c r="B782" s="591"/>
      <c r="C782" s="596" t="s">
        <v>648</v>
      </c>
      <c r="D782" s="163" t="s">
        <v>905</v>
      </c>
      <c r="E782" s="275" t="s">
        <v>970</v>
      </c>
      <c r="F782" s="464">
        <v>1</v>
      </c>
      <c r="G782" s="240" t="str">
        <f t="shared" si="141"/>
        <v/>
      </c>
      <c r="H782" s="249">
        <v>27171</v>
      </c>
      <c r="I782" s="358">
        <f t="shared" si="142"/>
        <v>24707.647540238249</v>
      </c>
      <c r="J782" s="358">
        <f t="shared" si="143"/>
        <v>24707.647540238249</v>
      </c>
      <c r="K782" s="324">
        <f t="shared" si="144"/>
        <v>91294.56</v>
      </c>
      <c r="L782" s="321" t="e">
        <f>IF(N782="Заказчика",N782,INDEX(#REF!,MATCH(C782,#REF!,0)))</f>
        <v>#REF!</v>
      </c>
      <c r="M782" s="450"/>
      <c r="N782" s="145" t="e">
        <f>IF(ISNA(MATCH(C782,#REF!,0)),"",INDEX(#REF!,MATCH(C782,#REF!,0)))</f>
        <v>#REF!</v>
      </c>
      <c r="O782" s="146" t="e">
        <f>SUMIF(#REF!,C782,#REF!)</f>
        <v>#REF!</v>
      </c>
      <c r="P782" s="146" t="s">
        <v>46</v>
      </c>
    </row>
    <row r="783" spans="2:16" ht="13.5" customHeight="1" x14ac:dyDescent="0.3">
      <c r="B783" s="162"/>
      <c r="C783" s="274"/>
      <c r="D783" s="385" t="s">
        <v>906</v>
      </c>
      <c r="E783" s="385"/>
      <c r="F783" s="464"/>
      <c r="G783" s="240"/>
      <c r="H783" s="243"/>
      <c r="I783" s="354"/>
      <c r="J783" s="354"/>
      <c r="K783" s="186"/>
      <c r="L783" s="186" t="e">
        <f>K783-O783</f>
        <v>#REF!</v>
      </c>
      <c r="M783" s="450"/>
      <c r="N783" s="320" t="e">
        <f>IF(ISNA(MATCH(C783,#REF!,0)),"",INDEX(#REF!,MATCH(C783,#REF!,0)))</f>
        <v>#REF!</v>
      </c>
      <c r="O783" s="164" t="e">
        <f>SUMIF(#REF!,C783,#REF!)</f>
        <v>#REF!</v>
      </c>
      <c r="P783" s="164" t="s">
        <v>46</v>
      </c>
    </row>
    <row r="784" spans="2:16" x14ac:dyDescent="0.3">
      <c r="B784" s="591"/>
      <c r="C784" s="596" t="s">
        <v>649</v>
      </c>
      <c r="D784" s="163" t="s">
        <v>896</v>
      </c>
      <c r="E784" s="275" t="s">
        <v>970</v>
      </c>
      <c r="F784" s="464">
        <v>1</v>
      </c>
      <c r="G784" s="240" t="str">
        <f t="shared" ref="G784:G790" si="145">IF(ISERR(L784/F784),"",K784/F784)</f>
        <v/>
      </c>
      <c r="H784" s="246">
        <v>18254</v>
      </c>
      <c r="I784" s="355">
        <f t="shared" ref="I784:I790" si="146">H784/1.0997</f>
        <v>16599.072474311179</v>
      </c>
      <c r="J784" s="355">
        <f t="shared" ref="J784:J790" si="147">I784/F784</f>
        <v>16599.072474311179</v>
      </c>
      <c r="K784" s="324">
        <f t="shared" ref="K784:K790" si="148">H784*$C$6</f>
        <v>61333.439999999995</v>
      </c>
      <c r="L784" s="321" t="e">
        <f>IF(N784="Заказчика",N784,INDEX(#REF!,MATCH(C784,#REF!,0)))</f>
        <v>#REF!</v>
      </c>
      <c r="M784" s="450"/>
      <c r="N784" s="145" t="e">
        <f>IF(ISNA(MATCH(C784,#REF!,0)),"",INDEX(#REF!,MATCH(C784,#REF!,0)))</f>
        <v>#REF!</v>
      </c>
      <c r="O784" s="146" t="e">
        <f>SUMIF(#REF!,C784,#REF!)</f>
        <v>#REF!</v>
      </c>
      <c r="P784" s="146" t="s">
        <v>46</v>
      </c>
    </row>
    <row r="785" spans="2:16" ht="26" x14ac:dyDescent="0.3">
      <c r="B785" s="591"/>
      <c r="C785" s="596" t="s">
        <v>650</v>
      </c>
      <c r="D785" s="163" t="s">
        <v>897</v>
      </c>
      <c r="E785" s="275" t="s">
        <v>970</v>
      </c>
      <c r="F785" s="464">
        <v>1</v>
      </c>
      <c r="G785" s="240" t="str">
        <f t="shared" si="145"/>
        <v/>
      </c>
      <c r="H785" s="246">
        <v>2268</v>
      </c>
      <c r="I785" s="355">
        <f t="shared" si="146"/>
        <v>2062.3806492679823</v>
      </c>
      <c r="J785" s="355">
        <f t="shared" si="147"/>
        <v>2062.3806492679823</v>
      </c>
      <c r="K785" s="324">
        <f t="shared" si="148"/>
        <v>7620.48</v>
      </c>
      <c r="L785" s="321" t="e">
        <f>IF(N785="Заказчика",N785,INDEX(#REF!,MATCH(C785,#REF!,0)))</f>
        <v>#REF!</v>
      </c>
      <c r="M785" s="450"/>
      <c r="N785" s="145" t="e">
        <f>IF(ISNA(MATCH(C785,#REF!,0)),"",INDEX(#REF!,MATCH(C785,#REF!,0)))</f>
        <v>#REF!</v>
      </c>
      <c r="O785" s="146" t="e">
        <f>SUMIF(#REF!,C785,#REF!)</f>
        <v>#REF!</v>
      </c>
      <c r="P785" s="146" t="s">
        <v>46</v>
      </c>
    </row>
    <row r="786" spans="2:16" ht="26" x14ac:dyDescent="0.3">
      <c r="B786" s="591"/>
      <c r="C786" s="596" t="s">
        <v>651</v>
      </c>
      <c r="D786" s="163" t="s">
        <v>898</v>
      </c>
      <c r="E786" s="275" t="s">
        <v>970</v>
      </c>
      <c r="F786" s="464">
        <v>6</v>
      </c>
      <c r="G786" s="240" t="str">
        <f t="shared" si="145"/>
        <v/>
      </c>
      <c r="H786" s="246">
        <v>8541</v>
      </c>
      <c r="I786" s="355">
        <f t="shared" si="146"/>
        <v>7766.6636355369656</v>
      </c>
      <c r="J786" s="355">
        <f t="shared" si="147"/>
        <v>1294.443939256161</v>
      </c>
      <c r="K786" s="324">
        <f t="shared" si="148"/>
        <v>28697.759999999998</v>
      </c>
      <c r="L786" s="321" t="e">
        <f>IF(N786="Заказчика",N786,INDEX(#REF!,MATCH(C786,#REF!,0)))</f>
        <v>#REF!</v>
      </c>
      <c r="M786" s="450"/>
      <c r="N786" s="145" t="e">
        <f>IF(ISNA(MATCH(C786,#REF!,0)),"",INDEX(#REF!,MATCH(C786,#REF!,0)))</f>
        <v>#REF!</v>
      </c>
      <c r="O786" s="146" t="e">
        <f>SUMIF(#REF!,C786,#REF!)</f>
        <v>#REF!</v>
      </c>
      <c r="P786" s="146" t="s">
        <v>46</v>
      </c>
    </row>
    <row r="787" spans="2:16" ht="26" x14ac:dyDescent="0.3">
      <c r="B787" s="591"/>
      <c r="C787" s="596" t="s">
        <v>652</v>
      </c>
      <c r="D787" s="163" t="s">
        <v>899</v>
      </c>
      <c r="E787" s="275" t="s">
        <v>970</v>
      </c>
      <c r="F787" s="464">
        <v>6</v>
      </c>
      <c r="G787" s="240" t="str">
        <f t="shared" si="145"/>
        <v/>
      </c>
      <c r="H787" s="246">
        <v>9784</v>
      </c>
      <c r="I787" s="355">
        <f t="shared" si="146"/>
        <v>8896.9719014276634</v>
      </c>
      <c r="J787" s="355">
        <f t="shared" si="147"/>
        <v>1482.828650237944</v>
      </c>
      <c r="K787" s="324">
        <f t="shared" si="148"/>
        <v>32874.239999999998</v>
      </c>
      <c r="L787" s="321" t="e">
        <f>IF(N787="Заказчика",N787,INDEX(#REF!,MATCH(C787,#REF!,0)))</f>
        <v>#REF!</v>
      </c>
      <c r="M787" s="450"/>
      <c r="N787" s="145" t="e">
        <f>IF(ISNA(MATCH(C787,#REF!,0)),"",INDEX(#REF!,MATCH(C787,#REF!,0)))</f>
        <v>#REF!</v>
      </c>
      <c r="O787" s="146" t="e">
        <f>SUMIF(#REF!,C787,#REF!)</f>
        <v>#REF!</v>
      </c>
      <c r="P787" s="146" t="s">
        <v>46</v>
      </c>
    </row>
    <row r="788" spans="2:16" x14ac:dyDescent="0.3">
      <c r="B788" s="591"/>
      <c r="C788" s="596" t="s">
        <v>653</v>
      </c>
      <c r="D788" s="163" t="s">
        <v>907</v>
      </c>
      <c r="E788" s="275" t="s">
        <v>970</v>
      </c>
      <c r="F788" s="464">
        <v>2</v>
      </c>
      <c r="G788" s="240" t="str">
        <f t="shared" si="145"/>
        <v/>
      </c>
      <c r="H788" s="246">
        <v>871</v>
      </c>
      <c r="I788" s="355">
        <f t="shared" si="146"/>
        <v>792.03419114303904</v>
      </c>
      <c r="J788" s="355">
        <f t="shared" si="147"/>
        <v>396.01709557151952</v>
      </c>
      <c r="K788" s="324">
        <f t="shared" si="148"/>
        <v>2926.56</v>
      </c>
      <c r="L788" s="321" t="e">
        <f>IF(N788="Заказчика",N788,INDEX(#REF!,MATCH(C788,#REF!,0)))</f>
        <v>#REF!</v>
      </c>
      <c r="M788" s="450"/>
      <c r="N788" s="145" t="e">
        <f>IF(ISNA(MATCH(C788,#REF!,0)),"",INDEX(#REF!,MATCH(C788,#REF!,0)))</f>
        <v>#REF!</v>
      </c>
      <c r="O788" s="146" t="e">
        <f>SUMIF(#REF!,C788,#REF!)</f>
        <v>#REF!</v>
      </c>
      <c r="P788" s="146" t="s">
        <v>46</v>
      </c>
    </row>
    <row r="789" spans="2:16" ht="26" x14ac:dyDescent="0.3">
      <c r="B789" s="591"/>
      <c r="C789" s="596" t="s">
        <v>654</v>
      </c>
      <c r="D789" s="163" t="s">
        <v>908</v>
      </c>
      <c r="E789" s="275" t="s">
        <v>970</v>
      </c>
      <c r="F789" s="464">
        <v>2</v>
      </c>
      <c r="G789" s="240" t="str">
        <f t="shared" si="145"/>
        <v/>
      </c>
      <c r="H789" s="249">
        <v>11778</v>
      </c>
      <c r="I789" s="358">
        <f t="shared" si="146"/>
        <v>10710.193689187961</v>
      </c>
      <c r="J789" s="358">
        <f t="shared" si="147"/>
        <v>5355.0968445939807</v>
      </c>
      <c r="K789" s="324">
        <f t="shared" si="148"/>
        <v>39574.080000000002</v>
      </c>
      <c r="L789" s="321" t="e">
        <f>IF(N789="Заказчика",N789,INDEX(#REF!,MATCH(C789,#REF!,0)))</f>
        <v>#REF!</v>
      </c>
      <c r="M789" s="450"/>
      <c r="N789" s="145" t="e">
        <f>IF(ISNA(MATCH(C789,#REF!,0)),"",INDEX(#REF!,MATCH(C789,#REF!,0)))</f>
        <v>#REF!</v>
      </c>
      <c r="O789" s="146" t="e">
        <f>SUMIF(#REF!,C789,#REF!)</f>
        <v>#REF!</v>
      </c>
      <c r="P789" s="146" t="s">
        <v>46</v>
      </c>
    </row>
    <row r="790" spans="2:16" x14ac:dyDescent="0.3">
      <c r="B790" s="591"/>
      <c r="C790" s="596" t="s">
        <v>655</v>
      </c>
      <c r="D790" s="163" t="s">
        <v>909</v>
      </c>
      <c r="E790" s="275" t="s">
        <v>970</v>
      </c>
      <c r="F790" s="464">
        <v>1</v>
      </c>
      <c r="G790" s="240" t="str">
        <f t="shared" si="145"/>
        <v/>
      </c>
      <c r="H790" s="249">
        <v>341</v>
      </c>
      <c r="I790" s="358">
        <f t="shared" si="146"/>
        <v>310.08456851868692</v>
      </c>
      <c r="J790" s="358">
        <f t="shared" si="147"/>
        <v>310.08456851868692</v>
      </c>
      <c r="K790" s="324">
        <f t="shared" si="148"/>
        <v>1145.76</v>
      </c>
      <c r="L790" s="321" t="e">
        <f>IF(N790="Заказчика",N790,INDEX(#REF!,MATCH(C790,#REF!,0)))</f>
        <v>#REF!</v>
      </c>
      <c r="M790" s="450"/>
      <c r="N790" s="145" t="e">
        <f>IF(ISNA(MATCH(C790,#REF!,0)),"",INDEX(#REF!,MATCH(C790,#REF!,0)))</f>
        <v>#REF!</v>
      </c>
      <c r="O790" s="146" t="e">
        <f>SUMIF(#REF!,C790,#REF!)</f>
        <v>#REF!</v>
      </c>
      <c r="P790" s="146" t="s">
        <v>46</v>
      </c>
    </row>
    <row r="791" spans="2:16" ht="26" x14ac:dyDescent="0.3">
      <c r="B791" s="162"/>
      <c r="C791" s="274"/>
      <c r="D791" s="163" t="s">
        <v>910</v>
      </c>
      <c r="E791" s="275"/>
      <c r="F791" s="464"/>
      <c r="G791" s="240"/>
      <c r="H791" s="243"/>
      <c r="I791" s="354"/>
      <c r="J791" s="354"/>
      <c r="K791" s="186"/>
      <c r="L791" s="186" t="e">
        <f>K791-O791</f>
        <v>#REF!</v>
      </c>
      <c r="M791" s="450"/>
      <c r="N791" s="157" t="e">
        <f>IF(ISNA(MATCH(C791,#REF!,0)),"",INDEX(#REF!,MATCH(C791,#REF!,0)))</f>
        <v>#REF!</v>
      </c>
      <c r="O791" s="158" t="e">
        <f>SUMIF(#REF!,C791,#REF!)</f>
        <v>#REF!</v>
      </c>
      <c r="P791" s="158" t="s">
        <v>46</v>
      </c>
    </row>
    <row r="792" spans="2:16" x14ac:dyDescent="0.3">
      <c r="B792" s="162"/>
      <c r="C792" s="274"/>
      <c r="D792" s="163" t="s">
        <v>875</v>
      </c>
      <c r="E792" s="275"/>
      <c r="F792" s="464"/>
      <c r="G792" s="240"/>
      <c r="H792" s="243"/>
      <c r="I792" s="354"/>
      <c r="J792" s="354"/>
      <c r="K792" s="186"/>
      <c r="L792" s="186" t="e">
        <f>K792-O792</f>
        <v>#REF!</v>
      </c>
      <c r="M792" s="450"/>
      <c r="N792" s="157" t="e">
        <f>IF(ISNA(MATCH(C792,#REF!,0)),"",INDEX(#REF!,MATCH(C792,#REF!,0)))</f>
        <v>#REF!</v>
      </c>
      <c r="O792" s="158" t="e">
        <f>SUMIF(#REF!,C792,#REF!)</f>
        <v>#REF!</v>
      </c>
      <c r="P792" s="158" t="s">
        <v>46</v>
      </c>
    </row>
    <row r="793" spans="2:16" ht="26" x14ac:dyDescent="0.3">
      <c r="B793" s="591"/>
      <c r="C793" s="596" t="s">
        <v>656</v>
      </c>
      <c r="D793" s="163" t="s">
        <v>911</v>
      </c>
      <c r="E793" s="275" t="s">
        <v>970</v>
      </c>
      <c r="F793" s="464">
        <v>1</v>
      </c>
      <c r="G793" s="240" t="str">
        <f t="shared" ref="G793:G798" si="149">IF(ISERR(L793/F793),"",K793/F793)</f>
        <v/>
      </c>
      <c r="H793" s="246">
        <v>4118</v>
      </c>
      <c r="I793" s="355">
        <f t="shared" ref="I793:I798" si="150">H793/1.0997</f>
        <v>3744.6576339001549</v>
      </c>
      <c r="J793" s="355">
        <f t="shared" ref="J793:J798" si="151">I793/F793</f>
        <v>3744.6576339001549</v>
      </c>
      <c r="K793" s="324">
        <f t="shared" ref="K793:K798" si="152">H793*$C$6</f>
        <v>13836.48</v>
      </c>
      <c r="L793" s="321" t="e">
        <f>IF(N793="Заказчика",N793,INDEX(#REF!,MATCH(C793,#REF!,0)))</f>
        <v>#REF!</v>
      </c>
      <c r="M793" s="450"/>
      <c r="N793" s="145" t="e">
        <f>IF(ISNA(MATCH(C793,#REF!,0)),"",INDEX(#REF!,MATCH(C793,#REF!,0)))</f>
        <v>#REF!</v>
      </c>
      <c r="O793" s="146" t="e">
        <f>SUMIF(#REF!,C793,#REF!)</f>
        <v>#REF!</v>
      </c>
      <c r="P793" s="146" t="s">
        <v>46</v>
      </c>
    </row>
    <row r="794" spans="2:16" x14ac:dyDescent="0.3">
      <c r="B794" s="591"/>
      <c r="C794" s="596" t="s">
        <v>657</v>
      </c>
      <c r="D794" s="163" t="s">
        <v>912</v>
      </c>
      <c r="E794" s="275" t="s">
        <v>970</v>
      </c>
      <c r="F794" s="464">
        <v>1</v>
      </c>
      <c r="G794" s="240" t="str">
        <f t="shared" si="149"/>
        <v/>
      </c>
      <c r="H794" s="246">
        <v>368</v>
      </c>
      <c r="I794" s="355">
        <f t="shared" si="150"/>
        <v>334.63671910521055</v>
      </c>
      <c r="J794" s="355">
        <f t="shared" si="151"/>
        <v>334.63671910521055</v>
      </c>
      <c r="K794" s="324">
        <f t="shared" si="152"/>
        <v>1236.48</v>
      </c>
      <c r="L794" s="321" t="e">
        <f>IF(N794="Заказчика",N794,INDEX(#REF!,MATCH(C794,#REF!,0)))</f>
        <v>#REF!</v>
      </c>
      <c r="M794" s="450"/>
      <c r="N794" s="145" t="e">
        <f>IF(ISNA(MATCH(C794,#REF!,0)),"",INDEX(#REF!,MATCH(C794,#REF!,0)))</f>
        <v>#REF!</v>
      </c>
      <c r="O794" s="146" t="e">
        <f>SUMIF(#REF!,C794,#REF!)</f>
        <v>#REF!</v>
      </c>
      <c r="P794" s="146" t="s">
        <v>46</v>
      </c>
    </row>
    <row r="795" spans="2:16" ht="26" x14ac:dyDescent="0.3">
      <c r="B795" s="591"/>
      <c r="C795" s="596" t="s">
        <v>658</v>
      </c>
      <c r="D795" s="163" t="s">
        <v>913</v>
      </c>
      <c r="E795" s="275" t="s">
        <v>970</v>
      </c>
      <c r="F795" s="464">
        <v>1</v>
      </c>
      <c r="G795" s="240" t="str">
        <f t="shared" si="149"/>
        <v/>
      </c>
      <c r="H795" s="246">
        <v>780</v>
      </c>
      <c r="I795" s="355">
        <f t="shared" si="150"/>
        <v>709.28435027734838</v>
      </c>
      <c r="J795" s="355">
        <f t="shared" si="151"/>
        <v>709.28435027734838</v>
      </c>
      <c r="K795" s="324">
        <f t="shared" si="152"/>
        <v>2620.7999999999997</v>
      </c>
      <c r="L795" s="321" t="e">
        <f>IF(N795="Заказчика",N795,INDEX(#REF!,MATCH(C795,#REF!,0)))</f>
        <v>#REF!</v>
      </c>
      <c r="M795" s="450"/>
      <c r="N795" s="145" t="e">
        <f>IF(ISNA(MATCH(C795,#REF!,0)),"",INDEX(#REF!,MATCH(C795,#REF!,0)))</f>
        <v>#REF!</v>
      </c>
      <c r="O795" s="146" t="e">
        <f>SUMIF(#REF!,C795,#REF!)</f>
        <v>#REF!</v>
      </c>
      <c r="P795" s="146" t="s">
        <v>46</v>
      </c>
    </row>
    <row r="796" spans="2:16" ht="26" x14ac:dyDescent="0.3">
      <c r="B796" s="591"/>
      <c r="C796" s="596" t="s">
        <v>659</v>
      </c>
      <c r="D796" s="163" t="s">
        <v>914</v>
      </c>
      <c r="E796" s="275" t="s">
        <v>970</v>
      </c>
      <c r="F796" s="464">
        <v>2</v>
      </c>
      <c r="G796" s="240" t="str">
        <f t="shared" si="149"/>
        <v/>
      </c>
      <c r="H796" s="246">
        <v>5372</v>
      </c>
      <c r="I796" s="355">
        <f t="shared" si="150"/>
        <v>4884.9686278075842</v>
      </c>
      <c r="J796" s="355">
        <f t="shared" si="151"/>
        <v>2442.4843139037921</v>
      </c>
      <c r="K796" s="324">
        <f t="shared" si="152"/>
        <v>18049.919999999998</v>
      </c>
      <c r="L796" s="321" t="e">
        <f>IF(N796="Заказчика",N796,INDEX(#REF!,MATCH(C796,#REF!,0)))</f>
        <v>#REF!</v>
      </c>
      <c r="M796" s="450"/>
      <c r="N796" s="145" t="e">
        <f>IF(ISNA(MATCH(C796,#REF!,0)),"",INDEX(#REF!,MATCH(C796,#REF!,0)))</f>
        <v>#REF!</v>
      </c>
      <c r="O796" s="146" t="e">
        <f>SUMIF(#REF!,C796,#REF!)</f>
        <v>#REF!</v>
      </c>
      <c r="P796" s="146" t="s">
        <v>46</v>
      </c>
    </row>
    <row r="797" spans="2:16" ht="26" x14ac:dyDescent="0.3">
      <c r="B797" s="591"/>
      <c r="C797" s="596" t="s">
        <v>660</v>
      </c>
      <c r="D797" s="163" t="s">
        <v>915</v>
      </c>
      <c r="E797" s="275" t="s">
        <v>970</v>
      </c>
      <c r="F797" s="464">
        <v>1</v>
      </c>
      <c r="G797" s="240" t="str">
        <f t="shared" si="149"/>
        <v/>
      </c>
      <c r="H797" s="246">
        <v>2181</v>
      </c>
      <c r="I797" s="355">
        <f t="shared" si="150"/>
        <v>1983.2681640447397</v>
      </c>
      <c r="J797" s="355">
        <f t="shared" si="151"/>
        <v>1983.2681640447397</v>
      </c>
      <c r="K797" s="324">
        <f t="shared" si="152"/>
        <v>7328.16</v>
      </c>
      <c r="L797" s="321" t="e">
        <f>IF(N797="Заказчика",N797,INDEX(#REF!,MATCH(C797,#REF!,0)))</f>
        <v>#REF!</v>
      </c>
      <c r="M797" s="450"/>
      <c r="N797" s="145" t="e">
        <f>IF(ISNA(MATCH(C797,#REF!,0)),"",INDEX(#REF!,MATCH(C797,#REF!,0)))</f>
        <v>#REF!</v>
      </c>
      <c r="O797" s="146" t="e">
        <f>SUMIF(#REF!,C797,#REF!)</f>
        <v>#REF!</v>
      </c>
      <c r="P797" s="146" t="s">
        <v>46</v>
      </c>
    </row>
    <row r="798" spans="2:16" ht="26" x14ac:dyDescent="0.3">
      <c r="B798" s="591"/>
      <c r="C798" s="596" t="s">
        <v>661</v>
      </c>
      <c r="D798" s="163" t="s">
        <v>916</v>
      </c>
      <c r="E798" s="275" t="s">
        <v>970</v>
      </c>
      <c r="F798" s="464">
        <v>45</v>
      </c>
      <c r="G798" s="240" t="str">
        <f t="shared" si="149"/>
        <v/>
      </c>
      <c r="H798" s="246">
        <v>87329</v>
      </c>
      <c r="I798" s="355">
        <f t="shared" si="150"/>
        <v>79411.657724834047</v>
      </c>
      <c r="J798" s="355">
        <f t="shared" si="151"/>
        <v>1764.7035049963122</v>
      </c>
      <c r="K798" s="324">
        <f t="shared" si="152"/>
        <v>293425.44</v>
      </c>
      <c r="L798" s="321" t="e">
        <f>IF(N798="Заказчика",N798,INDEX(#REF!,MATCH(C798,#REF!,0)))</f>
        <v>#REF!</v>
      </c>
      <c r="M798" s="450"/>
      <c r="N798" s="145" t="e">
        <f>IF(ISNA(MATCH(C798,#REF!,0)),"",INDEX(#REF!,MATCH(C798,#REF!,0)))</f>
        <v>#REF!</v>
      </c>
      <c r="O798" s="146" t="e">
        <f>SUMIF(#REF!,C798,#REF!)</f>
        <v>#REF!</v>
      </c>
      <c r="P798" s="146" t="s">
        <v>46</v>
      </c>
    </row>
    <row r="799" spans="2:16" x14ac:dyDescent="0.3">
      <c r="B799" s="162"/>
      <c r="C799" s="274"/>
      <c r="D799" s="163" t="s">
        <v>893</v>
      </c>
      <c r="E799" s="275"/>
      <c r="F799" s="464"/>
      <c r="G799" s="240"/>
      <c r="H799" s="243"/>
      <c r="I799" s="354"/>
      <c r="J799" s="354"/>
      <c r="K799" s="186"/>
      <c r="L799" s="186" t="e">
        <f>K799-O799</f>
        <v>#REF!</v>
      </c>
      <c r="M799" s="450"/>
      <c r="N799" s="157" t="e">
        <f>IF(ISNA(MATCH(C799,#REF!,0)),"",INDEX(#REF!,MATCH(C799,#REF!,0)))</f>
        <v>#REF!</v>
      </c>
      <c r="O799" s="158" t="e">
        <f>SUMIF(#REF!,C799,#REF!)</f>
        <v>#REF!</v>
      </c>
      <c r="P799" s="158" t="s">
        <v>46</v>
      </c>
    </row>
    <row r="800" spans="2:16" ht="26" x14ac:dyDescent="0.3">
      <c r="B800" s="591"/>
      <c r="C800" s="596" t="s">
        <v>662</v>
      </c>
      <c r="D800" s="163" t="s">
        <v>911</v>
      </c>
      <c r="E800" s="275" t="s">
        <v>970</v>
      </c>
      <c r="F800" s="464">
        <v>1</v>
      </c>
      <c r="G800" s="240" t="str">
        <f t="shared" ref="G800:G806" si="153">IF(ISERR(L800/F800),"",K800/F800)</f>
        <v/>
      </c>
      <c r="H800" s="249">
        <v>4118</v>
      </c>
      <c r="I800" s="358">
        <f t="shared" ref="I800:I806" si="154">H800/1.0997</f>
        <v>3744.6576339001549</v>
      </c>
      <c r="J800" s="358">
        <f t="shared" ref="J800:J806" si="155">I800/F800</f>
        <v>3744.6576339001549</v>
      </c>
      <c r="K800" s="324">
        <f t="shared" ref="K800:K806" si="156">H800*$C$6</f>
        <v>13836.48</v>
      </c>
      <c r="L800" s="321" t="e">
        <f>IF(N800="Заказчика",N800,INDEX(#REF!,MATCH(C800,#REF!,0)))</f>
        <v>#REF!</v>
      </c>
      <c r="M800" s="450"/>
      <c r="N800" s="145" t="e">
        <f>IF(ISNA(MATCH(C800,#REF!,0)),"",INDEX(#REF!,MATCH(C800,#REF!,0)))</f>
        <v>#REF!</v>
      </c>
      <c r="O800" s="146" t="e">
        <f>SUMIF(#REF!,C800,#REF!)</f>
        <v>#REF!</v>
      </c>
      <c r="P800" s="146" t="s">
        <v>46</v>
      </c>
    </row>
    <row r="801" spans="1:16" x14ac:dyDescent="0.3">
      <c r="B801" s="591"/>
      <c r="C801" s="596" t="s">
        <v>663</v>
      </c>
      <c r="D801" s="163" t="s">
        <v>912</v>
      </c>
      <c r="E801" s="275" t="s">
        <v>970</v>
      </c>
      <c r="F801" s="464">
        <v>1</v>
      </c>
      <c r="G801" s="240" t="str">
        <f t="shared" si="153"/>
        <v/>
      </c>
      <c r="H801" s="246">
        <v>368</v>
      </c>
      <c r="I801" s="355">
        <f t="shared" si="154"/>
        <v>334.63671910521055</v>
      </c>
      <c r="J801" s="355">
        <f t="shared" si="155"/>
        <v>334.63671910521055</v>
      </c>
      <c r="K801" s="324">
        <f t="shared" si="156"/>
        <v>1236.48</v>
      </c>
      <c r="L801" s="321" t="e">
        <f>IF(N801="Заказчика",N801,INDEX(#REF!,MATCH(C801,#REF!,0)))</f>
        <v>#REF!</v>
      </c>
      <c r="M801" s="450"/>
      <c r="N801" s="145" t="e">
        <f>IF(ISNA(MATCH(C801,#REF!,0)),"",INDEX(#REF!,MATCH(C801,#REF!,0)))</f>
        <v>#REF!</v>
      </c>
      <c r="O801" s="146" t="e">
        <f>SUMIF(#REF!,C801,#REF!)</f>
        <v>#REF!</v>
      </c>
      <c r="P801" s="146" t="s">
        <v>46</v>
      </c>
    </row>
    <row r="802" spans="1:16" ht="26" x14ac:dyDescent="0.3">
      <c r="B802" s="591"/>
      <c r="C802" s="596" t="s">
        <v>664</v>
      </c>
      <c r="D802" s="163" t="s">
        <v>913</v>
      </c>
      <c r="E802" s="275" t="s">
        <v>970</v>
      </c>
      <c r="F802" s="464">
        <v>1</v>
      </c>
      <c r="G802" s="240" t="str">
        <f t="shared" si="153"/>
        <v/>
      </c>
      <c r="H802" s="246">
        <v>780</v>
      </c>
      <c r="I802" s="355">
        <f t="shared" si="154"/>
        <v>709.28435027734838</v>
      </c>
      <c r="J802" s="355">
        <f t="shared" si="155"/>
        <v>709.28435027734838</v>
      </c>
      <c r="K802" s="324">
        <f t="shared" si="156"/>
        <v>2620.7999999999997</v>
      </c>
      <c r="L802" s="321" t="e">
        <f>IF(N802="Заказчика",N802,INDEX(#REF!,MATCH(C802,#REF!,0)))</f>
        <v>#REF!</v>
      </c>
      <c r="M802" s="450"/>
      <c r="N802" s="145" t="e">
        <f>IF(ISNA(MATCH(C802,#REF!,0)),"",INDEX(#REF!,MATCH(C802,#REF!,0)))</f>
        <v>#REF!</v>
      </c>
      <c r="O802" s="146" t="e">
        <f>SUMIF(#REF!,C802,#REF!)</f>
        <v>#REF!</v>
      </c>
      <c r="P802" s="146" t="s">
        <v>46</v>
      </c>
    </row>
    <row r="803" spans="1:16" x14ac:dyDescent="0.3">
      <c r="B803" s="591"/>
      <c r="C803" s="596" t="s">
        <v>665</v>
      </c>
      <c r="D803" s="163" t="s">
        <v>917</v>
      </c>
      <c r="E803" s="275" t="s">
        <v>970</v>
      </c>
      <c r="F803" s="464">
        <v>1</v>
      </c>
      <c r="G803" s="240" t="str">
        <f t="shared" si="153"/>
        <v/>
      </c>
      <c r="H803" s="246">
        <v>166</v>
      </c>
      <c r="I803" s="355">
        <f t="shared" si="154"/>
        <v>150.95025916158954</v>
      </c>
      <c r="J803" s="355">
        <f t="shared" si="155"/>
        <v>150.95025916158954</v>
      </c>
      <c r="K803" s="324">
        <f t="shared" si="156"/>
        <v>557.76</v>
      </c>
      <c r="L803" s="321" t="e">
        <f>IF(N803="Заказчика",N803,INDEX(#REF!,MATCH(C803,#REF!,0)))</f>
        <v>#REF!</v>
      </c>
      <c r="M803" s="450"/>
      <c r="N803" s="145" t="e">
        <f>IF(ISNA(MATCH(C803,#REF!,0)),"",INDEX(#REF!,MATCH(C803,#REF!,0)))</f>
        <v>#REF!</v>
      </c>
      <c r="O803" s="146" t="e">
        <f>SUMIF(#REF!,C803,#REF!)</f>
        <v>#REF!</v>
      </c>
      <c r="P803" s="146" t="s">
        <v>46</v>
      </c>
    </row>
    <row r="804" spans="1:16" ht="26" x14ac:dyDescent="0.3">
      <c r="B804" s="591"/>
      <c r="C804" s="596" t="s">
        <v>666</v>
      </c>
      <c r="D804" s="163" t="s">
        <v>914</v>
      </c>
      <c r="E804" s="275" t="s">
        <v>970</v>
      </c>
      <c r="F804" s="464">
        <v>2</v>
      </c>
      <c r="G804" s="240" t="str">
        <f t="shared" si="153"/>
        <v/>
      </c>
      <c r="H804" s="246">
        <v>5372</v>
      </c>
      <c r="I804" s="355">
        <f t="shared" si="154"/>
        <v>4884.9686278075842</v>
      </c>
      <c r="J804" s="355">
        <f t="shared" si="155"/>
        <v>2442.4843139037921</v>
      </c>
      <c r="K804" s="324">
        <f t="shared" si="156"/>
        <v>18049.919999999998</v>
      </c>
      <c r="L804" s="321" t="e">
        <f>IF(N804="Заказчика",N804,INDEX(#REF!,MATCH(C804,#REF!,0)))</f>
        <v>#REF!</v>
      </c>
      <c r="M804" s="450"/>
      <c r="N804" s="145" t="e">
        <f>IF(ISNA(MATCH(C804,#REF!,0)),"",INDEX(#REF!,MATCH(C804,#REF!,0)))</f>
        <v>#REF!</v>
      </c>
      <c r="O804" s="146" t="e">
        <f>SUMIF(#REF!,C804,#REF!)</f>
        <v>#REF!</v>
      </c>
      <c r="P804" s="146" t="s">
        <v>46</v>
      </c>
    </row>
    <row r="805" spans="1:16" ht="26" x14ac:dyDescent="0.3">
      <c r="B805" s="591"/>
      <c r="C805" s="596" t="s">
        <v>667</v>
      </c>
      <c r="D805" s="163" t="s">
        <v>915</v>
      </c>
      <c r="E805" s="275" t="s">
        <v>970</v>
      </c>
      <c r="F805" s="464">
        <v>1</v>
      </c>
      <c r="G805" s="240" t="str">
        <f t="shared" si="153"/>
        <v/>
      </c>
      <c r="H805" s="246">
        <v>2181</v>
      </c>
      <c r="I805" s="355">
        <f t="shared" si="154"/>
        <v>1983.2681640447397</v>
      </c>
      <c r="J805" s="355">
        <f t="shared" si="155"/>
        <v>1983.2681640447397</v>
      </c>
      <c r="K805" s="324">
        <f t="shared" si="156"/>
        <v>7328.16</v>
      </c>
      <c r="L805" s="321" t="e">
        <f>IF(N805="Заказчика",N805,INDEX(#REF!,MATCH(C805,#REF!,0)))</f>
        <v>#REF!</v>
      </c>
      <c r="M805" s="450"/>
      <c r="N805" s="145" t="e">
        <f>IF(ISNA(MATCH(C805,#REF!,0)),"",INDEX(#REF!,MATCH(C805,#REF!,0)))</f>
        <v>#REF!</v>
      </c>
      <c r="O805" s="146" t="e">
        <f>SUMIF(#REF!,C805,#REF!)</f>
        <v>#REF!</v>
      </c>
      <c r="P805" s="146" t="s">
        <v>46</v>
      </c>
    </row>
    <row r="806" spans="1:16" ht="26" x14ac:dyDescent="0.3">
      <c r="B806" s="591"/>
      <c r="C806" s="596" t="s">
        <v>668</v>
      </c>
      <c r="D806" s="163" t="s">
        <v>916</v>
      </c>
      <c r="E806" s="275" t="s">
        <v>970</v>
      </c>
      <c r="F806" s="464">
        <v>3</v>
      </c>
      <c r="G806" s="240" t="str">
        <f t="shared" si="153"/>
        <v/>
      </c>
      <c r="H806" s="246">
        <v>10615</v>
      </c>
      <c r="I806" s="355">
        <f t="shared" si="154"/>
        <v>9652.6325361462223</v>
      </c>
      <c r="J806" s="355">
        <f t="shared" si="155"/>
        <v>3217.5441787154073</v>
      </c>
      <c r="K806" s="324">
        <f t="shared" si="156"/>
        <v>35666.400000000001</v>
      </c>
      <c r="L806" s="321" t="e">
        <f>IF(N806="Заказчика",N806,INDEX(#REF!,MATCH(C806,#REF!,0)))</f>
        <v>#REF!</v>
      </c>
      <c r="M806" s="450"/>
      <c r="N806" s="145" t="e">
        <f>IF(ISNA(MATCH(C806,#REF!,0)),"",INDEX(#REF!,MATCH(C806,#REF!,0)))</f>
        <v>#REF!</v>
      </c>
      <c r="O806" s="146" t="e">
        <f>SUMIF(#REF!,C806,#REF!)</f>
        <v>#REF!</v>
      </c>
      <c r="P806" s="146" t="s">
        <v>46</v>
      </c>
    </row>
    <row r="807" spans="1:16" x14ac:dyDescent="0.3">
      <c r="B807" s="162"/>
      <c r="C807" s="274"/>
      <c r="D807" s="163" t="s">
        <v>918</v>
      </c>
      <c r="E807" s="275"/>
      <c r="F807" s="464"/>
      <c r="G807" s="240"/>
      <c r="H807" s="243"/>
      <c r="I807" s="354"/>
      <c r="J807" s="354"/>
      <c r="K807" s="186"/>
      <c r="L807" s="186" t="e">
        <f>K807-O807</f>
        <v>#REF!</v>
      </c>
      <c r="M807" s="450"/>
      <c r="N807" s="157" t="e">
        <f>IF(ISNA(MATCH(C807,#REF!,0)),"",INDEX(#REF!,MATCH(C807,#REF!,0)))</f>
        <v>#REF!</v>
      </c>
      <c r="O807" s="158" t="e">
        <f>SUMIF(#REF!,C807,#REF!)</f>
        <v>#REF!</v>
      </c>
      <c r="P807" s="158" t="s">
        <v>46</v>
      </c>
    </row>
    <row r="808" spans="1:16" ht="26" x14ac:dyDescent="0.3">
      <c r="B808" s="591"/>
      <c r="C808" s="596" t="s">
        <v>669</v>
      </c>
      <c r="D808" s="163" t="s">
        <v>913</v>
      </c>
      <c r="E808" s="275" t="s">
        <v>970</v>
      </c>
      <c r="F808" s="464">
        <v>2</v>
      </c>
      <c r="G808" s="240" t="str">
        <f>IF(ISERR(L808/F808),"",K808/F808)</f>
        <v/>
      </c>
      <c r="H808" s="249">
        <v>1560</v>
      </c>
      <c r="I808" s="358">
        <f>H808/1.0997</f>
        <v>1418.5687005546968</v>
      </c>
      <c r="J808" s="358">
        <f>I808/F808</f>
        <v>709.28435027734838</v>
      </c>
      <c r="K808" s="324">
        <f>H808*$C$6</f>
        <v>5241.5999999999995</v>
      </c>
      <c r="L808" s="321" t="e">
        <f>IF(N808="Заказчика",N808,INDEX(#REF!,MATCH(C808,#REF!,0)))</f>
        <v>#REF!</v>
      </c>
      <c r="M808" s="450"/>
      <c r="N808" s="145" t="e">
        <f>IF(ISNA(MATCH(C808,#REF!,0)),"",INDEX(#REF!,MATCH(C808,#REF!,0)))</f>
        <v>#REF!</v>
      </c>
      <c r="O808" s="146" t="e">
        <f>SUMIF(#REF!,C808,#REF!)</f>
        <v>#REF!</v>
      </c>
      <c r="P808" s="146" t="s">
        <v>46</v>
      </c>
    </row>
    <row r="809" spans="1:16" ht="26" x14ac:dyDescent="0.3">
      <c r="B809" s="591"/>
      <c r="C809" s="596" t="s">
        <v>670</v>
      </c>
      <c r="D809" s="163" t="s">
        <v>919</v>
      </c>
      <c r="E809" s="275" t="s">
        <v>970</v>
      </c>
      <c r="F809" s="464">
        <v>1</v>
      </c>
      <c r="G809" s="240" t="str">
        <f>IF(ISERR(L809/F809),"",K809/F809)</f>
        <v/>
      </c>
      <c r="H809" s="246">
        <v>35999</v>
      </c>
      <c r="I809" s="355">
        <f>H809/1.0997</f>
        <v>32735.291443120856</v>
      </c>
      <c r="J809" s="355">
        <f>I809/F809</f>
        <v>32735.291443120856</v>
      </c>
      <c r="K809" s="324">
        <f>H809*$C$6</f>
        <v>120956.64</v>
      </c>
      <c r="L809" s="321" t="e">
        <f>IF(N809="Заказчика",N809,INDEX(#REF!,MATCH(C809,#REF!,0)))</f>
        <v>#REF!</v>
      </c>
      <c r="M809" s="450"/>
      <c r="N809" s="145" t="e">
        <f>IF(ISNA(MATCH(C809,#REF!,0)),"",INDEX(#REF!,MATCH(C809,#REF!,0)))</f>
        <v>#REF!</v>
      </c>
      <c r="O809" s="146" t="e">
        <f>SUMIF(#REF!,C809,#REF!)</f>
        <v>#REF!</v>
      </c>
      <c r="P809" s="146" t="s">
        <v>46</v>
      </c>
    </row>
    <row r="810" spans="1:16" x14ac:dyDescent="0.3">
      <c r="B810" s="591"/>
      <c r="C810" s="596" t="s">
        <v>671</v>
      </c>
      <c r="D810" s="163" t="s">
        <v>920</v>
      </c>
      <c r="E810" s="275" t="s">
        <v>970</v>
      </c>
      <c r="F810" s="464">
        <v>2</v>
      </c>
      <c r="G810" s="240" t="str">
        <f>IF(ISERR(L810/F810),"",K810/F810)</f>
        <v/>
      </c>
      <c r="H810" s="246">
        <v>22985</v>
      </c>
      <c r="I810" s="355">
        <f>H810/1.0997</f>
        <v>20901.154860416478</v>
      </c>
      <c r="J810" s="355">
        <f>I810/F810</f>
        <v>10450.577430208239</v>
      </c>
      <c r="K810" s="324">
        <f>H810*$C$6</f>
        <v>77229.599999999991</v>
      </c>
      <c r="L810" s="321" t="e">
        <f>IF(N810="Заказчика",N810,INDEX(#REF!,MATCH(C810,#REF!,0)))</f>
        <v>#REF!</v>
      </c>
      <c r="M810" s="450"/>
      <c r="N810" s="145" t="e">
        <f>IF(ISNA(MATCH(C810,#REF!,0)),"",INDEX(#REF!,MATCH(C810,#REF!,0)))</f>
        <v>#REF!</v>
      </c>
      <c r="O810" s="146" t="e">
        <f>SUMIF(#REF!,C810,#REF!)</f>
        <v>#REF!</v>
      </c>
      <c r="P810" s="146" t="s">
        <v>46</v>
      </c>
    </row>
    <row r="811" spans="1:16" x14ac:dyDescent="0.3">
      <c r="B811" s="162"/>
      <c r="C811" s="274"/>
      <c r="D811" s="163" t="s">
        <v>921</v>
      </c>
      <c r="E811" s="275"/>
      <c r="F811" s="464"/>
      <c r="G811" s="240"/>
      <c r="H811" s="243"/>
      <c r="I811" s="354"/>
      <c r="J811" s="354"/>
      <c r="K811" s="186"/>
      <c r="L811" s="186" t="e">
        <f>K811-O811</f>
        <v>#REF!</v>
      </c>
      <c r="M811" s="450"/>
      <c r="N811" s="157" t="e">
        <f>IF(ISNA(MATCH(C811,#REF!,0)),"",INDEX(#REF!,MATCH(C811,#REF!,0)))</f>
        <v>#REF!</v>
      </c>
      <c r="O811" s="158" t="e">
        <f>SUMIF(#REF!,C811,#REF!)</f>
        <v>#REF!</v>
      </c>
      <c r="P811" s="158" t="s">
        <v>46</v>
      </c>
    </row>
    <row r="812" spans="1:16" ht="26" x14ac:dyDescent="0.3">
      <c r="B812" s="591"/>
      <c r="C812" s="596" t="s">
        <v>672</v>
      </c>
      <c r="D812" s="163" t="s">
        <v>913</v>
      </c>
      <c r="E812" s="275" t="s">
        <v>970</v>
      </c>
      <c r="F812" s="464">
        <v>2</v>
      </c>
      <c r="G812" s="240" t="str">
        <f>IF(ISERR(L812/F812),"",K812/F812)</f>
        <v/>
      </c>
      <c r="H812" s="246">
        <v>1560</v>
      </c>
      <c r="I812" s="355">
        <f>H812/1.0997</f>
        <v>1418.5687005546968</v>
      </c>
      <c r="J812" s="355">
        <f>I812/F812</f>
        <v>709.28435027734838</v>
      </c>
      <c r="K812" s="324">
        <f>H812*$C$6</f>
        <v>5241.5999999999995</v>
      </c>
      <c r="L812" s="321" t="e">
        <f>IF(N812="Заказчика",N812,INDEX(#REF!,MATCH(C812,#REF!,0)))</f>
        <v>#REF!</v>
      </c>
      <c r="M812" s="450"/>
      <c r="N812" s="145" t="e">
        <f>IF(ISNA(MATCH(C812,#REF!,0)),"",INDEX(#REF!,MATCH(C812,#REF!,0)))</f>
        <v>#REF!</v>
      </c>
      <c r="O812" s="146" t="e">
        <f>SUMIF(#REF!,C812,#REF!)</f>
        <v>#REF!</v>
      </c>
      <c r="P812" s="146" t="s">
        <v>46</v>
      </c>
    </row>
    <row r="813" spans="1:16" ht="26" x14ac:dyDescent="0.3">
      <c r="B813" s="591"/>
      <c r="C813" s="596" t="s">
        <v>673</v>
      </c>
      <c r="D813" s="163" t="s">
        <v>919</v>
      </c>
      <c r="E813" s="275" t="s">
        <v>970</v>
      </c>
      <c r="F813" s="464">
        <v>2</v>
      </c>
      <c r="G813" s="240" t="str">
        <f>IF(ISERR(L813/F813),"",K813/F813)</f>
        <v/>
      </c>
      <c r="H813" s="246">
        <v>71998</v>
      </c>
      <c r="I813" s="355">
        <f>H813/1.0997</f>
        <v>65470.582886241711</v>
      </c>
      <c r="J813" s="355">
        <f>I813/F813</f>
        <v>32735.291443120856</v>
      </c>
      <c r="K813" s="324">
        <f>H813*$C$6</f>
        <v>241913.28</v>
      </c>
      <c r="L813" s="321" t="e">
        <f>IF(N813="Заказчика",N813,INDEX(#REF!,MATCH(C813,#REF!,0)))</f>
        <v>#REF!</v>
      </c>
      <c r="M813" s="450"/>
      <c r="N813" s="145" t="e">
        <f>IF(ISNA(MATCH(C813,#REF!,0)),"",INDEX(#REF!,MATCH(C813,#REF!,0)))</f>
        <v>#REF!</v>
      </c>
      <c r="O813" s="146" t="e">
        <f>SUMIF(#REF!,C813,#REF!)</f>
        <v>#REF!</v>
      </c>
      <c r="P813" s="146" t="s">
        <v>46</v>
      </c>
    </row>
    <row r="814" spans="1:16" x14ac:dyDescent="0.3">
      <c r="B814" s="591"/>
      <c r="C814" s="596" t="s">
        <v>674</v>
      </c>
      <c r="D814" s="163" t="s">
        <v>920</v>
      </c>
      <c r="E814" s="275" t="s">
        <v>970</v>
      </c>
      <c r="F814" s="464">
        <v>4</v>
      </c>
      <c r="G814" s="240" t="str">
        <f>IF(ISERR(L814/F814),"",K814/F814)</f>
        <v/>
      </c>
      <c r="H814" s="246">
        <f>6+45646</f>
        <v>45652</v>
      </c>
      <c r="I814" s="355">
        <f>H814/1.0997</f>
        <v>41513.139947258343</v>
      </c>
      <c r="J814" s="355">
        <f>I814/F814</f>
        <v>10378.284986814586</v>
      </c>
      <c r="K814" s="324">
        <f>H814*$C$6</f>
        <v>153390.72</v>
      </c>
      <c r="L814" s="321" t="e">
        <f>IF(N814="Заказчика",N814,INDEX(#REF!,MATCH(C814,#REF!,0)))</f>
        <v>#REF!</v>
      </c>
      <c r="M814" s="450"/>
      <c r="N814" s="145" t="e">
        <f>IF(ISNA(MATCH(C814,#REF!,0)),"",INDEX(#REF!,MATCH(C814,#REF!,0)))</f>
        <v>#REF!</v>
      </c>
      <c r="O814" s="146" t="e">
        <f>SUMIF(#REF!,C814,#REF!)</f>
        <v>#REF!</v>
      </c>
      <c r="P814" s="146" t="s">
        <v>46</v>
      </c>
    </row>
    <row r="815" spans="1:16" x14ac:dyDescent="0.3">
      <c r="A815" s="50"/>
      <c r="B815" s="134"/>
      <c r="C815" s="216" t="s">
        <v>289</v>
      </c>
      <c r="D815" s="232" t="s">
        <v>721</v>
      </c>
      <c r="E815" s="233" t="s">
        <v>970</v>
      </c>
      <c r="F815" s="234"/>
      <c r="G815" s="235"/>
      <c r="H815" s="301">
        <f>SUM(H816:H920)</f>
        <v>596848</v>
      </c>
      <c r="I815" s="343"/>
      <c r="J815" s="343"/>
      <c r="K815" s="236">
        <f>SUM(K816:K920)</f>
        <v>4422643.6799999988</v>
      </c>
      <c r="L815" s="236" t="e">
        <f>SUM(L816:L920)</f>
        <v>#REF!</v>
      </c>
      <c r="M815" s="450"/>
      <c r="N815" s="126" t="e">
        <f>IF(ISNA(MATCH(C815,#REF!,0)),"",INDEX(#REF!,MATCH(C815,#REF!,0)))</f>
        <v>#REF!</v>
      </c>
      <c r="O815" s="127" t="e">
        <f>SUMIF(#REF!,C815,#REF!)</f>
        <v>#REF!</v>
      </c>
      <c r="P815" s="127" t="s">
        <v>46</v>
      </c>
    </row>
    <row r="816" spans="1:16" ht="26" x14ac:dyDescent="0.3">
      <c r="B816" s="134"/>
      <c r="C816" s="201" t="s">
        <v>290</v>
      </c>
      <c r="D816" s="182" t="s">
        <v>922</v>
      </c>
      <c r="E816" s="259" t="s">
        <v>970</v>
      </c>
      <c r="F816" s="316">
        <v>1</v>
      </c>
      <c r="G816" s="207">
        <f t="shared" ref="G816:G827" si="157">K816/F816</f>
        <v>244.52999999999997</v>
      </c>
      <c r="H816" s="243">
        <v>33</v>
      </c>
      <c r="I816" s="354"/>
      <c r="J816" s="354"/>
      <c r="K816" s="186">
        <f t="shared" ref="K816:K839" si="158">H816*$C$4*$C$5</f>
        <v>244.52999999999997</v>
      </c>
      <c r="L816" s="321" t="e">
        <f t="shared" ref="L816:L839" si="159">IF(N816="поставка Заказчика",N816,K816)</f>
        <v>#REF!</v>
      </c>
      <c r="M816" s="450"/>
      <c r="N816" s="131" t="e">
        <f>IF(ISNA(MATCH(C816,#REF!,0)),"",INDEX(#REF!,MATCH(C816,#REF!,0)))</f>
        <v>#REF!</v>
      </c>
      <c r="O816" s="114" t="e">
        <f>SUMIF(#REF!,C816,#REF!)</f>
        <v>#REF!</v>
      </c>
      <c r="P816" s="114" t="s">
        <v>46</v>
      </c>
    </row>
    <row r="817" spans="2:16" x14ac:dyDescent="0.3">
      <c r="B817" s="134"/>
      <c r="C817" s="201" t="s">
        <v>291</v>
      </c>
      <c r="D817" s="182" t="s">
        <v>923</v>
      </c>
      <c r="E817" s="259" t="s">
        <v>970</v>
      </c>
      <c r="F817" s="316">
        <v>3</v>
      </c>
      <c r="G817" s="207">
        <f t="shared" si="157"/>
        <v>353.21</v>
      </c>
      <c r="H817" s="187">
        <v>143</v>
      </c>
      <c r="I817" s="244"/>
      <c r="J817" s="244"/>
      <c r="K817" s="186">
        <f t="shared" si="158"/>
        <v>1059.6299999999999</v>
      </c>
      <c r="L817" s="321" t="e">
        <f t="shared" si="159"/>
        <v>#REF!</v>
      </c>
      <c r="M817" s="450"/>
      <c r="N817" s="131" t="e">
        <f>IF(ISNA(MATCH(C817,#REF!,0)),"",INDEX(#REF!,MATCH(C817,#REF!,0)))</f>
        <v>#REF!</v>
      </c>
      <c r="O817" s="114" t="e">
        <f>SUMIF(#REF!,C817,#REF!)</f>
        <v>#REF!</v>
      </c>
      <c r="P817" s="114" t="s">
        <v>46</v>
      </c>
    </row>
    <row r="818" spans="2:16" x14ac:dyDescent="0.3">
      <c r="B818" s="134"/>
      <c r="C818" s="201" t="s">
        <v>292</v>
      </c>
      <c r="D818" s="182" t="s">
        <v>924</v>
      </c>
      <c r="E818" s="259">
        <v>100</v>
      </c>
      <c r="F818" s="316">
        <v>0.05</v>
      </c>
      <c r="G818" s="207">
        <f t="shared" si="157"/>
        <v>32752.199999999997</v>
      </c>
      <c r="H818" s="187">
        <v>221</v>
      </c>
      <c r="I818" s="244"/>
      <c r="J818" s="244"/>
      <c r="K818" s="186">
        <f t="shared" si="158"/>
        <v>1637.61</v>
      </c>
      <c r="L818" s="321" t="e">
        <f t="shared" si="159"/>
        <v>#REF!</v>
      </c>
      <c r="M818" s="450"/>
      <c r="N818" s="131" t="e">
        <f>IF(ISNA(MATCH(C818,#REF!,0)),"",INDEX(#REF!,MATCH(C818,#REF!,0)))</f>
        <v>#REF!</v>
      </c>
      <c r="O818" s="114" t="e">
        <f>SUMIF(#REF!,C818,#REF!)</f>
        <v>#REF!</v>
      </c>
      <c r="P818" s="114" t="s">
        <v>46</v>
      </c>
    </row>
    <row r="819" spans="2:16" ht="26" x14ac:dyDescent="0.3">
      <c r="B819" s="134"/>
      <c r="C819" s="201" t="s">
        <v>293</v>
      </c>
      <c r="D819" s="182" t="s">
        <v>925</v>
      </c>
      <c r="E819" s="259" t="s">
        <v>970</v>
      </c>
      <c r="F819" s="316">
        <v>30</v>
      </c>
      <c r="G819" s="207">
        <f t="shared" si="157"/>
        <v>466.08899999999994</v>
      </c>
      <c r="H819" s="187">
        <v>1887</v>
      </c>
      <c r="I819" s="244"/>
      <c r="J819" s="244"/>
      <c r="K819" s="186">
        <f t="shared" si="158"/>
        <v>13982.669999999998</v>
      </c>
      <c r="L819" s="321" t="e">
        <f t="shared" si="159"/>
        <v>#REF!</v>
      </c>
      <c r="M819" s="450"/>
      <c r="N819" s="131" t="e">
        <f>IF(ISNA(MATCH(C819,#REF!,0)),"",INDEX(#REF!,MATCH(C819,#REF!,0)))</f>
        <v>#REF!</v>
      </c>
      <c r="O819" s="114" t="e">
        <f>SUMIF(#REF!,C819,#REF!)</f>
        <v>#REF!</v>
      </c>
      <c r="P819" s="114" t="s">
        <v>46</v>
      </c>
    </row>
    <row r="820" spans="2:16" x14ac:dyDescent="0.3">
      <c r="B820" s="134"/>
      <c r="C820" s="201" t="s">
        <v>294</v>
      </c>
      <c r="D820" s="182" t="s">
        <v>926</v>
      </c>
      <c r="E820" s="259" t="s">
        <v>970</v>
      </c>
      <c r="F820" s="316">
        <v>5</v>
      </c>
      <c r="G820" s="207">
        <f t="shared" si="157"/>
        <v>241.56599999999997</v>
      </c>
      <c r="H820" s="187">
        <v>163</v>
      </c>
      <c r="I820" s="244"/>
      <c r="J820" s="244"/>
      <c r="K820" s="186">
        <f t="shared" si="158"/>
        <v>1207.83</v>
      </c>
      <c r="L820" s="321" t="e">
        <f t="shared" si="159"/>
        <v>#REF!</v>
      </c>
      <c r="M820" s="450"/>
      <c r="N820" s="131" t="e">
        <f>IF(ISNA(MATCH(C820,#REF!,0)),"",INDEX(#REF!,MATCH(C820,#REF!,0)))</f>
        <v>#REF!</v>
      </c>
      <c r="O820" s="114" t="e">
        <f>SUMIF(#REF!,C820,#REF!)</f>
        <v>#REF!</v>
      </c>
      <c r="P820" s="114" t="s">
        <v>46</v>
      </c>
    </row>
    <row r="821" spans="2:16" ht="26" x14ac:dyDescent="0.3">
      <c r="B821" s="134"/>
      <c r="C821" s="201" t="s">
        <v>295</v>
      </c>
      <c r="D821" s="182" t="s">
        <v>927</v>
      </c>
      <c r="E821" s="259" t="s">
        <v>975</v>
      </c>
      <c r="F821" s="316">
        <v>3</v>
      </c>
      <c r="G821" s="207">
        <f t="shared" si="157"/>
        <v>353.21</v>
      </c>
      <c r="H821" s="187">
        <v>143</v>
      </c>
      <c r="I821" s="244"/>
      <c r="J821" s="244"/>
      <c r="K821" s="186">
        <f t="shared" si="158"/>
        <v>1059.6299999999999</v>
      </c>
      <c r="L821" s="321" t="e">
        <f t="shared" si="159"/>
        <v>#REF!</v>
      </c>
      <c r="M821" s="450"/>
      <c r="N821" s="131" t="e">
        <f>IF(ISNA(MATCH(C821,#REF!,0)),"",INDEX(#REF!,MATCH(C821,#REF!,0)))</f>
        <v>#REF!</v>
      </c>
      <c r="O821" s="114" t="e">
        <f>SUMIF(#REF!,C821,#REF!)</f>
        <v>#REF!</v>
      </c>
      <c r="P821" s="114" t="s">
        <v>46</v>
      </c>
    </row>
    <row r="822" spans="2:16" ht="26" x14ac:dyDescent="0.3">
      <c r="B822" s="134"/>
      <c r="C822" s="201" t="s">
        <v>296</v>
      </c>
      <c r="D822" s="182" t="s">
        <v>928</v>
      </c>
      <c r="E822" s="259" t="s">
        <v>970</v>
      </c>
      <c r="F822" s="316">
        <v>4</v>
      </c>
      <c r="G822" s="207">
        <f t="shared" si="157"/>
        <v>457.5675</v>
      </c>
      <c r="H822" s="187">
        <v>247</v>
      </c>
      <c r="I822" s="244"/>
      <c r="J822" s="244"/>
      <c r="K822" s="186">
        <f t="shared" si="158"/>
        <v>1830.27</v>
      </c>
      <c r="L822" s="321" t="e">
        <f t="shared" si="159"/>
        <v>#REF!</v>
      </c>
      <c r="M822" s="450"/>
      <c r="N822" s="131" t="e">
        <f>IF(ISNA(MATCH(C822,#REF!,0)),"",INDEX(#REF!,MATCH(C822,#REF!,0)))</f>
        <v>#REF!</v>
      </c>
      <c r="O822" s="114" t="e">
        <f>SUMIF(#REF!,C822,#REF!)</f>
        <v>#REF!</v>
      </c>
      <c r="P822" s="114" t="s">
        <v>46</v>
      </c>
    </row>
    <row r="823" spans="2:16" x14ac:dyDescent="0.3">
      <c r="B823" s="134"/>
      <c r="C823" s="201" t="s">
        <v>297</v>
      </c>
      <c r="D823" s="182" t="s">
        <v>929</v>
      </c>
      <c r="E823" s="259" t="s">
        <v>970</v>
      </c>
      <c r="F823" s="316">
        <v>6</v>
      </c>
      <c r="G823" s="207">
        <f t="shared" si="157"/>
        <v>1137.4349999999997</v>
      </c>
      <c r="H823" s="187">
        <v>921</v>
      </c>
      <c r="I823" s="244"/>
      <c r="J823" s="244"/>
      <c r="K823" s="186">
        <f t="shared" si="158"/>
        <v>6824.6099999999988</v>
      </c>
      <c r="L823" s="321" t="e">
        <f t="shared" si="159"/>
        <v>#REF!</v>
      </c>
      <c r="M823" s="450"/>
      <c r="N823" s="131" t="e">
        <f>IF(ISNA(MATCH(C823,#REF!,0)),"",INDEX(#REF!,MATCH(C823,#REF!,0)))</f>
        <v>#REF!</v>
      </c>
      <c r="O823" s="114" t="e">
        <f>SUMIF(#REF!,C823,#REF!)</f>
        <v>#REF!</v>
      </c>
      <c r="P823" s="114" t="s">
        <v>46</v>
      </c>
    </row>
    <row r="824" spans="2:16" x14ac:dyDescent="0.3">
      <c r="B824" s="134"/>
      <c r="C824" s="201" t="s">
        <v>298</v>
      </c>
      <c r="D824" s="182" t="s">
        <v>866</v>
      </c>
      <c r="E824" s="259" t="s">
        <v>970</v>
      </c>
      <c r="F824" s="316">
        <v>2</v>
      </c>
      <c r="G824" s="207">
        <f t="shared" si="157"/>
        <v>766.93499999999995</v>
      </c>
      <c r="H824" s="187">
        <v>207</v>
      </c>
      <c r="I824" s="244"/>
      <c r="J824" s="244"/>
      <c r="K824" s="186">
        <f t="shared" si="158"/>
        <v>1533.87</v>
      </c>
      <c r="L824" s="321" t="e">
        <f t="shared" si="159"/>
        <v>#REF!</v>
      </c>
      <c r="M824" s="450"/>
      <c r="N824" s="131" t="e">
        <f>IF(ISNA(MATCH(C824,#REF!,0)),"",INDEX(#REF!,MATCH(C824,#REF!,0)))</f>
        <v>#REF!</v>
      </c>
      <c r="O824" s="114" t="e">
        <f>SUMIF(#REF!,C824,#REF!)</f>
        <v>#REF!</v>
      </c>
      <c r="P824" s="114" t="s">
        <v>46</v>
      </c>
    </row>
    <row r="825" spans="2:16" x14ac:dyDescent="0.3">
      <c r="B825" s="134"/>
      <c r="C825" s="201" t="s">
        <v>299</v>
      </c>
      <c r="D825" s="182" t="s">
        <v>867</v>
      </c>
      <c r="E825" s="259" t="s">
        <v>970</v>
      </c>
      <c r="F825" s="316">
        <v>1</v>
      </c>
      <c r="G825" s="207">
        <f t="shared" si="157"/>
        <v>1689.4799999999998</v>
      </c>
      <c r="H825" s="187">
        <v>228</v>
      </c>
      <c r="I825" s="244"/>
      <c r="J825" s="244"/>
      <c r="K825" s="186">
        <f t="shared" si="158"/>
        <v>1689.4799999999998</v>
      </c>
      <c r="L825" s="321" t="e">
        <f t="shared" si="159"/>
        <v>#REF!</v>
      </c>
      <c r="M825" s="450"/>
      <c r="N825" s="131" t="e">
        <f>IF(ISNA(MATCH(C825,#REF!,0)),"",INDEX(#REF!,MATCH(C825,#REF!,0)))</f>
        <v>#REF!</v>
      </c>
      <c r="O825" s="114" t="e">
        <f>SUMIF(#REF!,C825,#REF!)</f>
        <v>#REF!</v>
      </c>
      <c r="P825" s="114" t="s">
        <v>46</v>
      </c>
    </row>
    <row r="826" spans="2:16" x14ac:dyDescent="0.3">
      <c r="B826" s="134"/>
      <c r="C826" s="201" t="s">
        <v>300</v>
      </c>
      <c r="D826" s="182" t="s">
        <v>930</v>
      </c>
      <c r="E826" s="259" t="s">
        <v>970</v>
      </c>
      <c r="F826" s="316">
        <v>3</v>
      </c>
      <c r="G826" s="207">
        <f t="shared" si="157"/>
        <v>1691.9499999999998</v>
      </c>
      <c r="H826" s="187">
        <v>685</v>
      </c>
      <c r="I826" s="244"/>
      <c r="J826" s="244"/>
      <c r="K826" s="186">
        <f t="shared" si="158"/>
        <v>5075.8499999999995</v>
      </c>
      <c r="L826" s="321" t="e">
        <f t="shared" si="159"/>
        <v>#REF!</v>
      </c>
      <c r="M826" s="450"/>
      <c r="N826" s="131" t="e">
        <f>IF(ISNA(MATCH(C826,#REF!,0)),"",INDEX(#REF!,MATCH(C826,#REF!,0)))</f>
        <v>#REF!</v>
      </c>
      <c r="O826" s="114" t="e">
        <f>SUMIF(#REF!,C826,#REF!)</f>
        <v>#REF!</v>
      </c>
      <c r="P826" s="114" t="s">
        <v>46</v>
      </c>
    </row>
    <row r="827" spans="2:16" x14ac:dyDescent="0.3">
      <c r="B827" s="134"/>
      <c r="C827" s="201" t="s">
        <v>301</v>
      </c>
      <c r="D827" s="182" t="s">
        <v>931</v>
      </c>
      <c r="E827" s="259" t="s">
        <v>970</v>
      </c>
      <c r="F827" s="316">
        <v>6</v>
      </c>
      <c r="G827" s="207">
        <f t="shared" si="157"/>
        <v>353.21</v>
      </c>
      <c r="H827" s="187">
        <v>286</v>
      </c>
      <c r="I827" s="244"/>
      <c r="J827" s="244"/>
      <c r="K827" s="186">
        <f t="shared" si="158"/>
        <v>2119.2599999999998</v>
      </c>
      <c r="L827" s="321" t="e">
        <f t="shared" si="159"/>
        <v>#REF!</v>
      </c>
      <c r="M827" s="450"/>
      <c r="N827" s="131" t="e">
        <f>IF(ISNA(MATCH(C827,#REF!,0)),"",INDEX(#REF!,MATCH(C827,#REF!,0)))</f>
        <v>#REF!</v>
      </c>
      <c r="O827" s="114" t="e">
        <f>SUMIF(#REF!,C827,#REF!)</f>
        <v>#REF!</v>
      </c>
      <c r="P827" s="114" t="s">
        <v>46</v>
      </c>
    </row>
    <row r="828" spans="2:16" x14ac:dyDescent="0.3">
      <c r="B828" s="134"/>
      <c r="C828" s="201" t="s">
        <v>302</v>
      </c>
      <c r="D828" s="182" t="s">
        <v>932</v>
      </c>
      <c r="E828" s="259" t="s">
        <v>970</v>
      </c>
      <c r="F828" s="316">
        <v>1</v>
      </c>
      <c r="G828" s="207">
        <f t="shared" ref="G828:G875" si="160">K828/F828</f>
        <v>770.63999999999987</v>
      </c>
      <c r="H828" s="187">
        <v>104</v>
      </c>
      <c r="I828" s="244"/>
      <c r="J828" s="244"/>
      <c r="K828" s="186">
        <f t="shared" si="158"/>
        <v>770.63999999999987</v>
      </c>
      <c r="L828" s="321" t="e">
        <f t="shared" si="159"/>
        <v>#REF!</v>
      </c>
      <c r="M828" s="450"/>
      <c r="N828" s="131" t="e">
        <f>IF(ISNA(MATCH(C828,#REF!,0)),"",INDEX(#REF!,MATCH(C828,#REF!,0)))</f>
        <v>#REF!</v>
      </c>
      <c r="O828" s="114" t="e">
        <f>SUMIF(#REF!,C828,#REF!)</f>
        <v>#REF!</v>
      </c>
      <c r="P828" s="114" t="s">
        <v>46</v>
      </c>
    </row>
    <row r="829" spans="2:16" x14ac:dyDescent="0.3">
      <c r="B829" s="134"/>
      <c r="C829" s="201" t="s">
        <v>303</v>
      </c>
      <c r="D829" s="182" t="s">
        <v>931</v>
      </c>
      <c r="E829" s="259" t="s">
        <v>970</v>
      </c>
      <c r="F829" s="316">
        <v>2</v>
      </c>
      <c r="G829" s="207">
        <f t="shared" si="160"/>
        <v>351.97499999999997</v>
      </c>
      <c r="H829" s="187">
        <v>95</v>
      </c>
      <c r="I829" s="244"/>
      <c r="J829" s="244"/>
      <c r="K829" s="186">
        <f t="shared" si="158"/>
        <v>703.94999999999993</v>
      </c>
      <c r="L829" s="321" t="e">
        <f t="shared" si="159"/>
        <v>#REF!</v>
      </c>
      <c r="M829" s="450"/>
      <c r="N829" s="131" t="e">
        <f>IF(ISNA(MATCH(C829,#REF!,0)),"",INDEX(#REF!,MATCH(C829,#REF!,0)))</f>
        <v>#REF!</v>
      </c>
      <c r="O829" s="114" t="e">
        <f>SUMIF(#REF!,C829,#REF!)</f>
        <v>#REF!</v>
      </c>
      <c r="P829" s="114" t="s">
        <v>46</v>
      </c>
    </row>
    <row r="830" spans="2:16" x14ac:dyDescent="0.3">
      <c r="B830" s="134"/>
      <c r="C830" s="201" t="s">
        <v>304</v>
      </c>
      <c r="D830" s="182" t="s">
        <v>933</v>
      </c>
      <c r="E830" s="259" t="s">
        <v>970</v>
      </c>
      <c r="F830" s="316">
        <v>1</v>
      </c>
      <c r="G830" s="207">
        <f t="shared" si="160"/>
        <v>1689.4799999999998</v>
      </c>
      <c r="H830" s="187">
        <v>228</v>
      </c>
      <c r="I830" s="244"/>
      <c r="J830" s="244"/>
      <c r="K830" s="186">
        <f t="shared" si="158"/>
        <v>1689.4799999999998</v>
      </c>
      <c r="L830" s="321" t="e">
        <f t="shared" si="159"/>
        <v>#REF!</v>
      </c>
      <c r="M830" s="450"/>
      <c r="N830" s="131" t="e">
        <f>IF(ISNA(MATCH(C830,#REF!,0)),"",INDEX(#REF!,MATCH(C830,#REF!,0)))</f>
        <v>#REF!</v>
      </c>
      <c r="O830" s="114" t="e">
        <f>SUMIF(#REF!,C830,#REF!)</f>
        <v>#REF!</v>
      </c>
      <c r="P830" s="114" t="s">
        <v>46</v>
      </c>
    </row>
    <row r="831" spans="2:16" x14ac:dyDescent="0.3">
      <c r="B831" s="134"/>
      <c r="C831" s="201" t="s">
        <v>305</v>
      </c>
      <c r="D831" s="182" t="s">
        <v>934</v>
      </c>
      <c r="E831" s="259" t="s">
        <v>970</v>
      </c>
      <c r="F831" s="316">
        <v>1</v>
      </c>
      <c r="G831" s="207">
        <f t="shared" si="160"/>
        <v>118.55999999999999</v>
      </c>
      <c r="H831" s="187">
        <v>16</v>
      </c>
      <c r="I831" s="244"/>
      <c r="J831" s="244"/>
      <c r="K831" s="186">
        <f t="shared" si="158"/>
        <v>118.55999999999999</v>
      </c>
      <c r="L831" s="321" t="e">
        <f t="shared" si="159"/>
        <v>#REF!</v>
      </c>
      <c r="M831" s="450"/>
      <c r="N831" s="131" t="e">
        <f>IF(ISNA(MATCH(C831,#REF!,0)),"",INDEX(#REF!,MATCH(C831,#REF!,0)))</f>
        <v>#REF!</v>
      </c>
      <c r="O831" s="114" t="e">
        <f>SUMIF(#REF!,C831,#REF!)</f>
        <v>#REF!</v>
      </c>
      <c r="P831" s="114" t="s">
        <v>46</v>
      </c>
    </row>
    <row r="832" spans="2:16" x14ac:dyDescent="0.3">
      <c r="B832" s="134"/>
      <c r="C832" s="201" t="s">
        <v>306</v>
      </c>
      <c r="D832" s="182" t="s">
        <v>935</v>
      </c>
      <c r="E832" s="259" t="s">
        <v>970</v>
      </c>
      <c r="F832" s="316">
        <v>2</v>
      </c>
      <c r="G832" s="207">
        <f t="shared" si="160"/>
        <v>114.85499999999999</v>
      </c>
      <c r="H832" s="187">
        <v>31</v>
      </c>
      <c r="I832" s="244"/>
      <c r="J832" s="244"/>
      <c r="K832" s="186">
        <f t="shared" si="158"/>
        <v>229.70999999999998</v>
      </c>
      <c r="L832" s="321" t="e">
        <f t="shared" si="159"/>
        <v>#REF!</v>
      </c>
      <c r="M832" s="450"/>
      <c r="N832" s="131" t="e">
        <f>IF(ISNA(MATCH(C832,#REF!,0)),"",INDEX(#REF!,MATCH(C832,#REF!,0)))</f>
        <v>#REF!</v>
      </c>
      <c r="O832" s="114" t="e">
        <f>SUMIF(#REF!,C832,#REF!)</f>
        <v>#REF!</v>
      </c>
      <c r="P832" s="114" t="s">
        <v>46</v>
      </c>
    </row>
    <row r="833" spans="2:16" ht="26" x14ac:dyDescent="0.3">
      <c r="B833" s="134"/>
      <c r="C833" s="201" t="s">
        <v>307</v>
      </c>
      <c r="D833" s="182" t="s">
        <v>731</v>
      </c>
      <c r="E833" s="259" t="s">
        <v>970</v>
      </c>
      <c r="F833" s="316">
        <v>3</v>
      </c>
      <c r="G833" s="207">
        <f t="shared" si="160"/>
        <v>1346.1499999999999</v>
      </c>
      <c r="H833" s="187">
        <v>545</v>
      </c>
      <c r="I833" s="244"/>
      <c r="J833" s="244"/>
      <c r="K833" s="186">
        <f t="shared" si="158"/>
        <v>4038.45</v>
      </c>
      <c r="L833" s="321" t="e">
        <f t="shared" si="159"/>
        <v>#REF!</v>
      </c>
      <c r="M833" s="450"/>
      <c r="N833" s="131" t="e">
        <f>IF(ISNA(MATCH(C833,#REF!,0)),"",INDEX(#REF!,MATCH(C833,#REF!,0)))</f>
        <v>#REF!</v>
      </c>
      <c r="O833" s="114" t="e">
        <f>SUMIF(#REF!,C833,#REF!)</f>
        <v>#REF!</v>
      </c>
      <c r="P833" s="114" t="s">
        <v>46</v>
      </c>
    </row>
    <row r="834" spans="2:16" x14ac:dyDescent="0.3">
      <c r="B834" s="134"/>
      <c r="C834" s="201" t="s">
        <v>308</v>
      </c>
      <c r="D834" s="182" t="s">
        <v>732</v>
      </c>
      <c r="E834" s="259" t="s">
        <v>970</v>
      </c>
      <c r="F834" s="316">
        <v>2</v>
      </c>
      <c r="G834" s="207">
        <f t="shared" si="160"/>
        <v>114.85499999999999</v>
      </c>
      <c r="H834" s="187">
        <v>31</v>
      </c>
      <c r="I834" s="244"/>
      <c r="J834" s="244"/>
      <c r="K834" s="186">
        <f t="shared" si="158"/>
        <v>229.70999999999998</v>
      </c>
      <c r="L834" s="321" t="e">
        <f t="shared" si="159"/>
        <v>#REF!</v>
      </c>
      <c r="M834" s="450"/>
      <c r="N834" s="131" t="e">
        <f>IF(ISNA(MATCH(C834,#REF!,0)),"",INDEX(#REF!,MATCH(C834,#REF!,0)))</f>
        <v>#REF!</v>
      </c>
      <c r="O834" s="114" t="e">
        <f>SUMIF(#REF!,C834,#REF!)</f>
        <v>#REF!</v>
      </c>
      <c r="P834" s="114" t="s">
        <v>46</v>
      </c>
    </row>
    <row r="835" spans="2:16" ht="26" x14ac:dyDescent="0.3">
      <c r="B835" s="134"/>
      <c r="C835" s="201" t="s">
        <v>309</v>
      </c>
      <c r="D835" s="182" t="s">
        <v>733</v>
      </c>
      <c r="E835" s="259" t="s">
        <v>970</v>
      </c>
      <c r="F835" s="316">
        <v>1</v>
      </c>
      <c r="G835" s="207">
        <f t="shared" si="160"/>
        <v>214.88999999999996</v>
      </c>
      <c r="H835" s="187">
        <v>29</v>
      </c>
      <c r="I835" s="244"/>
      <c r="J835" s="244"/>
      <c r="K835" s="186">
        <f t="shared" si="158"/>
        <v>214.88999999999996</v>
      </c>
      <c r="L835" s="321" t="e">
        <f t="shared" si="159"/>
        <v>#REF!</v>
      </c>
      <c r="M835" s="450"/>
      <c r="N835" s="131" t="e">
        <f>IF(ISNA(MATCH(C835,#REF!,0)),"",INDEX(#REF!,MATCH(C835,#REF!,0)))</f>
        <v>#REF!</v>
      </c>
      <c r="O835" s="114" t="e">
        <f>SUMIF(#REF!,C835,#REF!)</f>
        <v>#REF!</v>
      </c>
      <c r="P835" s="114" t="s">
        <v>46</v>
      </c>
    </row>
    <row r="836" spans="2:16" ht="26" x14ac:dyDescent="0.3">
      <c r="B836" s="134"/>
      <c r="C836" s="201" t="s">
        <v>310</v>
      </c>
      <c r="D836" s="182" t="s">
        <v>734</v>
      </c>
      <c r="E836" s="259" t="s">
        <v>970</v>
      </c>
      <c r="F836" s="316">
        <v>2</v>
      </c>
      <c r="G836" s="207">
        <f t="shared" si="160"/>
        <v>1092.9749999999999</v>
      </c>
      <c r="H836" s="187">
        <v>295</v>
      </c>
      <c r="I836" s="244"/>
      <c r="J836" s="244"/>
      <c r="K836" s="186">
        <f t="shared" si="158"/>
        <v>2185.9499999999998</v>
      </c>
      <c r="L836" s="321" t="e">
        <f t="shared" si="159"/>
        <v>#REF!</v>
      </c>
      <c r="M836" s="450"/>
      <c r="N836" s="131" t="e">
        <f>IF(ISNA(MATCH(C836,#REF!,0)),"",INDEX(#REF!,MATCH(C836,#REF!,0)))</f>
        <v>#REF!</v>
      </c>
      <c r="O836" s="114" t="e">
        <f>SUMIF(#REF!,C836,#REF!)</f>
        <v>#REF!</v>
      </c>
      <c r="P836" s="114" t="s">
        <v>46</v>
      </c>
    </row>
    <row r="837" spans="2:16" ht="26" x14ac:dyDescent="0.3">
      <c r="B837" s="134"/>
      <c r="C837" s="201" t="s">
        <v>311</v>
      </c>
      <c r="D837" s="182" t="s">
        <v>735</v>
      </c>
      <c r="E837" s="259" t="s">
        <v>970</v>
      </c>
      <c r="F837" s="316">
        <v>2</v>
      </c>
      <c r="G837" s="207">
        <f t="shared" si="160"/>
        <v>544.63499999999999</v>
      </c>
      <c r="H837" s="187">
        <v>147</v>
      </c>
      <c r="I837" s="244"/>
      <c r="J837" s="244"/>
      <c r="K837" s="186">
        <f t="shared" si="158"/>
        <v>1089.27</v>
      </c>
      <c r="L837" s="321" t="e">
        <f t="shared" si="159"/>
        <v>#REF!</v>
      </c>
      <c r="M837" s="450"/>
      <c r="N837" s="131" t="e">
        <f>IF(ISNA(MATCH(C837,#REF!,0)),"",INDEX(#REF!,MATCH(C837,#REF!,0)))</f>
        <v>#REF!</v>
      </c>
      <c r="O837" s="114" t="e">
        <f>SUMIF(#REF!,C837,#REF!)</f>
        <v>#REF!</v>
      </c>
      <c r="P837" s="114" t="s">
        <v>46</v>
      </c>
    </row>
    <row r="838" spans="2:16" ht="26" x14ac:dyDescent="0.3">
      <c r="B838" s="134"/>
      <c r="C838" s="201" t="s">
        <v>312</v>
      </c>
      <c r="D838" s="182" t="s">
        <v>736</v>
      </c>
      <c r="E838" s="259" t="s">
        <v>970</v>
      </c>
      <c r="F838" s="316">
        <v>2</v>
      </c>
      <c r="G838" s="207">
        <f t="shared" si="160"/>
        <v>648.37499999999989</v>
      </c>
      <c r="H838" s="187">
        <v>175</v>
      </c>
      <c r="I838" s="244"/>
      <c r="J838" s="244"/>
      <c r="K838" s="186">
        <f t="shared" si="158"/>
        <v>1296.7499999999998</v>
      </c>
      <c r="L838" s="321" t="e">
        <f t="shared" si="159"/>
        <v>#REF!</v>
      </c>
      <c r="M838" s="450"/>
      <c r="N838" s="131" t="e">
        <f>IF(ISNA(MATCH(C838,#REF!,0)),"",INDEX(#REF!,MATCH(C838,#REF!,0)))</f>
        <v>#REF!</v>
      </c>
      <c r="O838" s="114" t="e">
        <f>SUMIF(#REF!,C838,#REF!)</f>
        <v>#REF!</v>
      </c>
      <c r="P838" s="114" t="s">
        <v>46</v>
      </c>
    </row>
    <row r="839" spans="2:16" x14ac:dyDescent="0.3">
      <c r="B839" s="134"/>
      <c r="C839" s="201" t="s">
        <v>313</v>
      </c>
      <c r="D839" s="182" t="s">
        <v>872</v>
      </c>
      <c r="E839" s="259" t="s">
        <v>970</v>
      </c>
      <c r="F839" s="316">
        <v>16</v>
      </c>
      <c r="G839" s="207">
        <f t="shared" si="160"/>
        <v>343.63874999999996</v>
      </c>
      <c r="H839" s="187">
        <v>742</v>
      </c>
      <c r="I839" s="244"/>
      <c r="J839" s="244"/>
      <c r="K839" s="186">
        <f t="shared" si="158"/>
        <v>5498.2199999999993</v>
      </c>
      <c r="L839" s="321" t="e">
        <f t="shared" si="159"/>
        <v>#REF!</v>
      </c>
      <c r="M839" s="450"/>
      <c r="N839" s="131" t="e">
        <f>IF(ISNA(MATCH(C839,#REF!,0)),"",INDEX(#REF!,MATCH(C839,#REF!,0)))</f>
        <v>#REF!</v>
      </c>
      <c r="O839" s="114" t="e">
        <f>SUMIF(#REF!,C839,#REF!)</f>
        <v>#REF!</v>
      </c>
      <c r="P839" s="114" t="s">
        <v>46</v>
      </c>
    </row>
    <row r="840" spans="2:16" x14ac:dyDescent="0.3">
      <c r="B840" s="134"/>
      <c r="C840" s="201"/>
      <c r="D840" s="182" t="s">
        <v>874</v>
      </c>
      <c r="E840" s="259"/>
      <c r="F840" s="316"/>
      <c r="G840" s="207"/>
      <c r="H840" s="187"/>
      <c r="I840" s="244"/>
      <c r="J840" s="244"/>
      <c r="K840" s="186"/>
      <c r="L840" s="186" t="e">
        <f>K840-O840</f>
        <v>#REF!</v>
      </c>
      <c r="M840" s="450"/>
      <c r="N840" s="131" t="e">
        <f>IF(ISNA(MATCH(C840,#REF!,0)),"",INDEX(#REF!,MATCH(C840,#REF!,0)))</f>
        <v>#REF!</v>
      </c>
      <c r="O840" s="114" t="e">
        <f>SUMIF(#REF!,C840,#REF!)</f>
        <v>#REF!</v>
      </c>
      <c r="P840" s="114" t="s">
        <v>46</v>
      </c>
    </row>
    <row r="841" spans="2:16" x14ac:dyDescent="0.3">
      <c r="B841" s="134"/>
      <c r="C841" s="201"/>
      <c r="D841" s="182" t="s">
        <v>875</v>
      </c>
      <c r="E841" s="259"/>
      <c r="F841" s="316"/>
      <c r="G841" s="207"/>
      <c r="H841" s="187"/>
      <c r="I841" s="244"/>
      <c r="J841" s="244"/>
      <c r="K841" s="186"/>
      <c r="L841" s="186" t="e">
        <f>K841-O841</f>
        <v>#REF!</v>
      </c>
      <c r="M841" s="450"/>
      <c r="N841" s="131" t="e">
        <f>IF(ISNA(MATCH(C841,#REF!,0)),"",INDEX(#REF!,MATCH(C841,#REF!,0)))</f>
        <v>#REF!</v>
      </c>
      <c r="O841" s="114" t="e">
        <f>SUMIF(#REF!,C841,#REF!)</f>
        <v>#REF!</v>
      </c>
      <c r="P841" s="114" t="s">
        <v>46</v>
      </c>
    </row>
    <row r="842" spans="2:16" x14ac:dyDescent="0.3">
      <c r="B842" s="134"/>
      <c r="C842" s="201" t="s">
        <v>314</v>
      </c>
      <c r="D842" s="182" t="s">
        <v>737</v>
      </c>
      <c r="E842" s="259" t="s">
        <v>970</v>
      </c>
      <c r="F842" s="316">
        <v>1</v>
      </c>
      <c r="G842" s="207">
        <f t="shared" si="160"/>
        <v>4031.04</v>
      </c>
      <c r="H842" s="187">
        <v>544</v>
      </c>
      <c r="I842" s="244"/>
      <c r="J842" s="244"/>
      <c r="K842" s="186">
        <f t="shared" ref="K842:K860" si="161">H842*$C$4*$C$5</f>
        <v>4031.04</v>
      </c>
      <c r="L842" s="321" t="e">
        <f t="shared" ref="L842:L860" si="162">IF(N842="поставка Заказчика",N842,K842)</f>
        <v>#REF!</v>
      </c>
      <c r="M842" s="450"/>
      <c r="N842" s="131" t="e">
        <f>IF(ISNA(MATCH(C842,#REF!,0)),"",INDEX(#REF!,MATCH(C842,#REF!,0)))</f>
        <v>#REF!</v>
      </c>
      <c r="O842" s="114" t="e">
        <f>SUMIF(#REF!,C842,#REF!)</f>
        <v>#REF!</v>
      </c>
      <c r="P842" s="114" t="s">
        <v>46</v>
      </c>
    </row>
    <row r="843" spans="2:16" ht="39" x14ac:dyDescent="0.3">
      <c r="B843" s="134"/>
      <c r="C843" s="201" t="s">
        <v>315</v>
      </c>
      <c r="D843" s="182" t="s">
        <v>738</v>
      </c>
      <c r="E843" s="259" t="s">
        <v>970</v>
      </c>
      <c r="F843" s="316">
        <v>1</v>
      </c>
      <c r="G843" s="207">
        <f t="shared" si="160"/>
        <v>459.41999999999996</v>
      </c>
      <c r="H843" s="187">
        <f>31+31</f>
        <v>62</v>
      </c>
      <c r="I843" s="244"/>
      <c r="J843" s="244"/>
      <c r="K843" s="186">
        <f t="shared" si="161"/>
        <v>459.41999999999996</v>
      </c>
      <c r="L843" s="321" t="e">
        <f t="shared" si="162"/>
        <v>#REF!</v>
      </c>
      <c r="M843" s="450"/>
      <c r="N843" s="131" t="e">
        <f>IF(ISNA(MATCH(C843,#REF!,0)),"",INDEX(#REF!,MATCH(C843,#REF!,0)))</f>
        <v>#REF!</v>
      </c>
      <c r="O843" s="114" t="e">
        <f>SUMIF(#REF!,C843,#REF!)</f>
        <v>#REF!</v>
      </c>
      <c r="P843" s="114" t="s">
        <v>46</v>
      </c>
    </row>
    <row r="844" spans="2:16" ht="39" x14ac:dyDescent="0.3">
      <c r="B844" s="134"/>
      <c r="C844" s="201" t="s">
        <v>316</v>
      </c>
      <c r="D844" s="182" t="s">
        <v>739</v>
      </c>
      <c r="E844" s="259" t="s">
        <v>970</v>
      </c>
      <c r="F844" s="316">
        <v>84</v>
      </c>
      <c r="G844" s="207">
        <f t="shared" si="160"/>
        <v>211.53785714285715</v>
      </c>
      <c r="H844" s="187">
        <v>2398</v>
      </c>
      <c r="I844" s="244"/>
      <c r="J844" s="244"/>
      <c r="K844" s="186">
        <f t="shared" si="161"/>
        <v>17769.18</v>
      </c>
      <c r="L844" s="321" t="e">
        <f t="shared" si="162"/>
        <v>#REF!</v>
      </c>
      <c r="M844" s="450"/>
      <c r="N844" s="131" t="e">
        <f>IF(ISNA(MATCH(C844,#REF!,0)),"",INDEX(#REF!,MATCH(C844,#REF!,0)))</f>
        <v>#REF!</v>
      </c>
      <c r="O844" s="114" t="e">
        <f>SUMIF(#REF!,C844,#REF!)</f>
        <v>#REF!</v>
      </c>
      <c r="P844" s="114" t="s">
        <v>46</v>
      </c>
    </row>
    <row r="845" spans="2:16" ht="39" x14ac:dyDescent="0.3">
      <c r="B845" s="134"/>
      <c r="C845" s="201" t="s">
        <v>317</v>
      </c>
      <c r="D845" s="182" t="s">
        <v>740</v>
      </c>
      <c r="E845" s="259" t="s">
        <v>970</v>
      </c>
      <c r="F845" s="316">
        <v>1</v>
      </c>
      <c r="G845" s="207">
        <f t="shared" si="160"/>
        <v>2067.3899999999994</v>
      </c>
      <c r="H845" s="187">
        <v>279</v>
      </c>
      <c r="I845" s="244"/>
      <c r="J845" s="244"/>
      <c r="K845" s="186">
        <f t="shared" si="161"/>
        <v>2067.3899999999994</v>
      </c>
      <c r="L845" s="321" t="e">
        <f t="shared" si="162"/>
        <v>#REF!</v>
      </c>
      <c r="M845" s="450"/>
      <c r="N845" s="131" t="e">
        <f>IF(ISNA(MATCH(C845,#REF!,0)),"",INDEX(#REF!,MATCH(C845,#REF!,0)))</f>
        <v>#REF!</v>
      </c>
      <c r="O845" s="114" t="e">
        <f>SUMIF(#REF!,C845,#REF!)</f>
        <v>#REF!</v>
      </c>
      <c r="P845" s="114" t="s">
        <v>46</v>
      </c>
    </row>
    <row r="846" spans="2:16" x14ac:dyDescent="0.3">
      <c r="B846" s="134"/>
      <c r="C846" s="201" t="s">
        <v>318</v>
      </c>
      <c r="D846" s="182" t="s">
        <v>741</v>
      </c>
      <c r="E846" s="259" t="s">
        <v>970</v>
      </c>
      <c r="F846" s="316">
        <v>1</v>
      </c>
      <c r="G846" s="207">
        <f t="shared" si="160"/>
        <v>118.55999999999999</v>
      </c>
      <c r="H846" s="187">
        <v>16</v>
      </c>
      <c r="I846" s="244"/>
      <c r="J846" s="244"/>
      <c r="K846" s="186">
        <f t="shared" si="161"/>
        <v>118.55999999999999</v>
      </c>
      <c r="L846" s="321" t="e">
        <f t="shared" si="162"/>
        <v>#REF!</v>
      </c>
      <c r="M846" s="450"/>
      <c r="N846" s="131" t="e">
        <f>IF(ISNA(MATCH(C846,#REF!,0)),"",INDEX(#REF!,MATCH(C846,#REF!,0)))</f>
        <v>#REF!</v>
      </c>
      <c r="O846" s="114" t="e">
        <f>SUMIF(#REF!,C846,#REF!)</f>
        <v>#REF!</v>
      </c>
      <c r="P846" s="114" t="s">
        <v>46</v>
      </c>
    </row>
    <row r="847" spans="2:16" ht="39" x14ac:dyDescent="0.3">
      <c r="B847" s="134"/>
      <c r="C847" s="201" t="s">
        <v>319</v>
      </c>
      <c r="D847" s="182" t="s">
        <v>742</v>
      </c>
      <c r="E847" s="259" t="s">
        <v>970</v>
      </c>
      <c r="F847" s="316">
        <v>1</v>
      </c>
      <c r="G847" s="207">
        <f t="shared" si="160"/>
        <v>444.59999999999997</v>
      </c>
      <c r="H847" s="187">
        <v>60</v>
      </c>
      <c r="I847" s="244"/>
      <c r="J847" s="244"/>
      <c r="K847" s="186">
        <f t="shared" si="161"/>
        <v>444.59999999999997</v>
      </c>
      <c r="L847" s="321" t="e">
        <f t="shared" si="162"/>
        <v>#REF!</v>
      </c>
      <c r="M847" s="450"/>
      <c r="N847" s="131" t="e">
        <f>IF(ISNA(MATCH(C847,#REF!,0)),"",INDEX(#REF!,MATCH(C847,#REF!,0)))</f>
        <v>#REF!</v>
      </c>
      <c r="O847" s="114" t="e">
        <f>SUMIF(#REF!,C847,#REF!)</f>
        <v>#REF!</v>
      </c>
      <c r="P847" s="114" t="s">
        <v>46</v>
      </c>
    </row>
    <row r="848" spans="2:16" ht="39" x14ac:dyDescent="0.3">
      <c r="B848" s="134"/>
      <c r="C848" s="201" t="s">
        <v>320</v>
      </c>
      <c r="D848" s="182" t="s">
        <v>743</v>
      </c>
      <c r="E848" s="259" t="s">
        <v>970</v>
      </c>
      <c r="F848" s="316">
        <v>1</v>
      </c>
      <c r="G848" s="207">
        <f t="shared" si="160"/>
        <v>118.55999999999999</v>
      </c>
      <c r="H848" s="187">
        <v>16</v>
      </c>
      <c r="I848" s="244"/>
      <c r="J848" s="244"/>
      <c r="K848" s="186">
        <f t="shared" si="161"/>
        <v>118.55999999999999</v>
      </c>
      <c r="L848" s="321" t="e">
        <f t="shared" si="162"/>
        <v>#REF!</v>
      </c>
      <c r="M848" s="450"/>
      <c r="N848" s="131" t="e">
        <f>IF(ISNA(MATCH(C848,#REF!,0)),"",INDEX(#REF!,MATCH(C848,#REF!,0)))</f>
        <v>#REF!</v>
      </c>
      <c r="O848" s="114" t="e">
        <f>SUMIF(#REF!,C848,#REF!)</f>
        <v>#REF!</v>
      </c>
      <c r="P848" s="114" t="s">
        <v>46</v>
      </c>
    </row>
    <row r="849" spans="2:16" ht="52" x14ac:dyDescent="0.3">
      <c r="B849" s="134"/>
      <c r="C849" s="201" t="s">
        <v>321</v>
      </c>
      <c r="D849" s="182" t="s">
        <v>744</v>
      </c>
      <c r="E849" s="259" t="s">
        <v>948</v>
      </c>
      <c r="F849" s="316">
        <v>4.4999999999999997E-3</v>
      </c>
      <c r="G849" s="207">
        <f t="shared" si="160"/>
        <v>21406.666666666664</v>
      </c>
      <c r="H849" s="187">
        <v>13</v>
      </c>
      <c r="I849" s="244"/>
      <c r="J849" s="244"/>
      <c r="K849" s="186">
        <f t="shared" si="161"/>
        <v>96.329999999999984</v>
      </c>
      <c r="L849" s="321" t="e">
        <f t="shared" si="162"/>
        <v>#REF!</v>
      </c>
      <c r="M849" s="450"/>
      <c r="N849" s="131" t="e">
        <f>IF(ISNA(MATCH(C849,#REF!,0)),"",INDEX(#REF!,MATCH(C849,#REF!,0)))</f>
        <v>#REF!</v>
      </c>
      <c r="O849" s="114" t="e">
        <f>SUMIF(#REF!,C849,#REF!)</f>
        <v>#REF!</v>
      </c>
      <c r="P849" s="114" t="s">
        <v>46</v>
      </c>
    </row>
    <row r="850" spans="2:16" ht="26" x14ac:dyDescent="0.3">
      <c r="B850" s="134"/>
      <c r="C850" s="201" t="s">
        <v>322</v>
      </c>
      <c r="D850" s="182" t="s">
        <v>745</v>
      </c>
      <c r="E850" s="259" t="s">
        <v>970</v>
      </c>
      <c r="F850" s="316">
        <v>1</v>
      </c>
      <c r="G850" s="207">
        <f t="shared" si="160"/>
        <v>125.97</v>
      </c>
      <c r="H850" s="187">
        <v>17</v>
      </c>
      <c r="I850" s="244"/>
      <c r="J850" s="244"/>
      <c r="K850" s="186">
        <f t="shared" si="161"/>
        <v>125.97</v>
      </c>
      <c r="L850" s="321" t="e">
        <f t="shared" si="162"/>
        <v>#REF!</v>
      </c>
      <c r="M850" s="450"/>
      <c r="N850" s="131" t="e">
        <f>IF(ISNA(MATCH(C850,#REF!,0)),"",INDEX(#REF!,MATCH(C850,#REF!,0)))</f>
        <v>#REF!</v>
      </c>
      <c r="O850" s="114" t="e">
        <f>SUMIF(#REF!,C850,#REF!)</f>
        <v>#REF!</v>
      </c>
      <c r="P850" s="114" t="s">
        <v>46</v>
      </c>
    </row>
    <row r="851" spans="2:16" ht="39" x14ac:dyDescent="0.3">
      <c r="B851" s="134"/>
      <c r="C851" s="201" t="s">
        <v>323</v>
      </c>
      <c r="D851" s="182" t="s">
        <v>746</v>
      </c>
      <c r="E851" s="259" t="s">
        <v>970</v>
      </c>
      <c r="F851" s="316">
        <v>12</v>
      </c>
      <c r="G851" s="207">
        <f t="shared" si="160"/>
        <v>782.9899999999999</v>
      </c>
      <c r="H851" s="187">
        <v>1268</v>
      </c>
      <c r="I851" s="244"/>
      <c r="J851" s="244"/>
      <c r="K851" s="186">
        <f t="shared" si="161"/>
        <v>9395.8799999999992</v>
      </c>
      <c r="L851" s="321" t="e">
        <f t="shared" si="162"/>
        <v>#REF!</v>
      </c>
      <c r="M851" s="450"/>
      <c r="N851" s="131" t="e">
        <f>IF(ISNA(MATCH(C851,#REF!,0)),"",INDEX(#REF!,MATCH(C851,#REF!,0)))</f>
        <v>#REF!</v>
      </c>
      <c r="O851" s="114" t="e">
        <f>SUMIF(#REF!,C851,#REF!)</f>
        <v>#REF!</v>
      </c>
      <c r="P851" s="114" t="s">
        <v>46</v>
      </c>
    </row>
    <row r="852" spans="2:16" x14ac:dyDescent="0.3">
      <c r="B852" s="134"/>
      <c r="C852" s="201" t="s">
        <v>324</v>
      </c>
      <c r="D852" s="182" t="s">
        <v>737</v>
      </c>
      <c r="E852" s="259" t="s">
        <v>970</v>
      </c>
      <c r="F852" s="316">
        <v>1</v>
      </c>
      <c r="G852" s="207">
        <f t="shared" si="160"/>
        <v>4031.04</v>
      </c>
      <c r="H852" s="187">
        <v>544</v>
      </c>
      <c r="I852" s="244"/>
      <c r="J852" s="244"/>
      <c r="K852" s="186">
        <f t="shared" si="161"/>
        <v>4031.04</v>
      </c>
      <c r="L852" s="321" t="e">
        <f t="shared" si="162"/>
        <v>#REF!</v>
      </c>
      <c r="M852" s="450"/>
      <c r="N852" s="131" t="e">
        <f>IF(ISNA(MATCH(C852,#REF!,0)),"",INDEX(#REF!,MATCH(C852,#REF!,0)))</f>
        <v>#REF!</v>
      </c>
      <c r="O852" s="114" t="e">
        <f>SUMIF(#REF!,C852,#REF!)</f>
        <v>#REF!</v>
      </c>
      <c r="P852" s="114" t="s">
        <v>46</v>
      </c>
    </row>
    <row r="853" spans="2:16" ht="39" x14ac:dyDescent="0.3">
      <c r="B853" s="134"/>
      <c r="C853" s="201" t="s">
        <v>325</v>
      </c>
      <c r="D853" s="182" t="s">
        <v>747</v>
      </c>
      <c r="E853" s="259" t="s">
        <v>970</v>
      </c>
      <c r="F853" s="316">
        <v>1</v>
      </c>
      <c r="G853" s="207">
        <f t="shared" si="160"/>
        <v>229.70999999999998</v>
      </c>
      <c r="H853" s="187">
        <v>31</v>
      </c>
      <c r="I853" s="244"/>
      <c r="J853" s="244"/>
      <c r="K853" s="186">
        <f t="shared" si="161"/>
        <v>229.70999999999998</v>
      </c>
      <c r="L853" s="321" t="e">
        <f t="shared" si="162"/>
        <v>#REF!</v>
      </c>
      <c r="M853" s="450"/>
      <c r="N853" s="131" t="e">
        <f>IF(ISNA(MATCH(C853,#REF!,0)),"",INDEX(#REF!,MATCH(C853,#REF!,0)))</f>
        <v>#REF!</v>
      </c>
      <c r="O853" s="114" t="e">
        <f>SUMIF(#REF!,C853,#REF!)</f>
        <v>#REF!</v>
      </c>
      <c r="P853" s="114" t="s">
        <v>46</v>
      </c>
    </row>
    <row r="854" spans="2:16" ht="39" x14ac:dyDescent="0.3">
      <c r="B854" s="134"/>
      <c r="C854" s="201" t="s">
        <v>326</v>
      </c>
      <c r="D854" s="182" t="s">
        <v>739</v>
      </c>
      <c r="E854" s="259" t="s">
        <v>970</v>
      </c>
      <c r="F854" s="316">
        <v>25</v>
      </c>
      <c r="G854" s="207">
        <f t="shared" si="160"/>
        <v>211.62959999999998</v>
      </c>
      <c r="H854" s="187">
        <v>714</v>
      </c>
      <c r="I854" s="244"/>
      <c r="J854" s="244"/>
      <c r="K854" s="186">
        <f t="shared" si="161"/>
        <v>5290.74</v>
      </c>
      <c r="L854" s="321" t="e">
        <f t="shared" si="162"/>
        <v>#REF!</v>
      </c>
      <c r="M854" s="450"/>
      <c r="N854" s="131" t="e">
        <f>IF(ISNA(MATCH(C854,#REF!,0)),"",INDEX(#REF!,MATCH(C854,#REF!,0)))</f>
        <v>#REF!</v>
      </c>
      <c r="O854" s="114" t="e">
        <f>SUMIF(#REF!,C854,#REF!)</f>
        <v>#REF!</v>
      </c>
      <c r="P854" s="114" t="s">
        <v>46</v>
      </c>
    </row>
    <row r="855" spans="2:16" ht="39" x14ac:dyDescent="0.3">
      <c r="B855" s="134"/>
      <c r="C855" s="201" t="s">
        <v>327</v>
      </c>
      <c r="D855" s="182" t="s">
        <v>740</v>
      </c>
      <c r="E855" s="259" t="s">
        <v>970</v>
      </c>
      <c r="F855" s="316">
        <v>1</v>
      </c>
      <c r="G855" s="207">
        <f t="shared" si="160"/>
        <v>2067.3899999999994</v>
      </c>
      <c r="H855" s="187">
        <v>279</v>
      </c>
      <c r="I855" s="244"/>
      <c r="J855" s="244"/>
      <c r="K855" s="186">
        <f t="shared" si="161"/>
        <v>2067.3899999999994</v>
      </c>
      <c r="L855" s="321" t="e">
        <f t="shared" si="162"/>
        <v>#REF!</v>
      </c>
      <c r="M855" s="450"/>
      <c r="N855" s="131" t="e">
        <f>IF(ISNA(MATCH(C855,#REF!,0)),"",INDEX(#REF!,MATCH(C855,#REF!,0)))</f>
        <v>#REF!</v>
      </c>
      <c r="O855" s="114" t="e">
        <f>SUMIF(#REF!,C855,#REF!)</f>
        <v>#REF!</v>
      </c>
      <c r="P855" s="114" t="s">
        <v>46</v>
      </c>
    </row>
    <row r="856" spans="2:16" x14ac:dyDescent="0.3">
      <c r="B856" s="134"/>
      <c r="C856" s="201" t="s">
        <v>328</v>
      </c>
      <c r="D856" s="182" t="s">
        <v>741</v>
      </c>
      <c r="E856" s="259" t="s">
        <v>970</v>
      </c>
      <c r="F856" s="316">
        <v>1</v>
      </c>
      <c r="G856" s="207">
        <f t="shared" si="160"/>
        <v>118.55999999999999</v>
      </c>
      <c r="H856" s="187">
        <v>16</v>
      </c>
      <c r="I856" s="244"/>
      <c r="J856" s="244"/>
      <c r="K856" s="186">
        <f t="shared" si="161"/>
        <v>118.55999999999999</v>
      </c>
      <c r="L856" s="321" t="e">
        <f t="shared" si="162"/>
        <v>#REF!</v>
      </c>
      <c r="M856" s="450"/>
      <c r="N856" s="131" t="e">
        <f>IF(ISNA(MATCH(C856,#REF!,0)),"",INDEX(#REF!,MATCH(C856,#REF!,0)))</f>
        <v>#REF!</v>
      </c>
      <c r="O856" s="114" t="e">
        <f>SUMIF(#REF!,C856,#REF!)</f>
        <v>#REF!</v>
      </c>
      <c r="P856" s="114" t="s">
        <v>46</v>
      </c>
    </row>
    <row r="857" spans="2:16" ht="39" x14ac:dyDescent="0.3">
      <c r="B857" s="134"/>
      <c r="C857" s="201" t="s">
        <v>329</v>
      </c>
      <c r="D857" s="182" t="s">
        <v>742</v>
      </c>
      <c r="E857" s="259" t="s">
        <v>970</v>
      </c>
      <c r="F857" s="316">
        <v>1</v>
      </c>
      <c r="G857" s="207">
        <f t="shared" si="160"/>
        <v>444.59999999999997</v>
      </c>
      <c r="H857" s="187">
        <v>60</v>
      </c>
      <c r="I857" s="244"/>
      <c r="J857" s="244"/>
      <c r="K857" s="186">
        <f t="shared" si="161"/>
        <v>444.59999999999997</v>
      </c>
      <c r="L857" s="321" t="e">
        <f t="shared" si="162"/>
        <v>#REF!</v>
      </c>
      <c r="M857" s="450"/>
      <c r="N857" s="131" t="e">
        <f>IF(ISNA(MATCH(C857,#REF!,0)),"",INDEX(#REF!,MATCH(C857,#REF!,0)))</f>
        <v>#REF!</v>
      </c>
      <c r="O857" s="114" t="e">
        <f>SUMIF(#REF!,C857,#REF!)</f>
        <v>#REF!</v>
      </c>
      <c r="P857" s="114" t="s">
        <v>46</v>
      </c>
    </row>
    <row r="858" spans="2:16" ht="39" x14ac:dyDescent="0.3">
      <c r="B858" s="134"/>
      <c r="C858" s="201" t="s">
        <v>330</v>
      </c>
      <c r="D858" s="182" t="s">
        <v>743</v>
      </c>
      <c r="E858" s="259" t="s">
        <v>970</v>
      </c>
      <c r="F858" s="316">
        <v>1</v>
      </c>
      <c r="G858" s="207">
        <f t="shared" si="160"/>
        <v>118.55999999999999</v>
      </c>
      <c r="H858" s="187">
        <v>16</v>
      </c>
      <c r="I858" s="244"/>
      <c r="J858" s="244"/>
      <c r="K858" s="186">
        <f t="shared" si="161"/>
        <v>118.55999999999999</v>
      </c>
      <c r="L858" s="321" t="e">
        <f t="shared" si="162"/>
        <v>#REF!</v>
      </c>
      <c r="M858" s="450"/>
      <c r="N858" s="131" t="e">
        <f>IF(ISNA(MATCH(C858,#REF!,0)),"",INDEX(#REF!,MATCH(C858,#REF!,0)))</f>
        <v>#REF!</v>
      </c>
      <c r="O858" s="114" t="e">
        <f>SUMIF(#REF!,C858,#REF!)</f>
        <v>#REF!</v>
      </c>
      <c r="P858" s="114" t="s">
        <v>46</v>
      </c>
    </row>
    <row r="859" spans="2:16" ht="26" x14ac:dyDescent="0.3">
      <c r="B859" s="134"/>
      <c r="C859" s="201" t="s">
        <v>331</v>
      </c>
      <c r="D859" s="182" t="s">
        <v>750</v>
      </c>
      <c r="E859" s="259" t="s">
        <v>970</v>
      </c>
      <c r="F859" s="316">
        <v>1</v>
      </c>
      <c r="G859" s="207">
        <f t="shared" si="160"/>
        <v>96.329999999999984</v>
      </c>
      <c r="H859" s="187">
        <v>13</v>
      </c>
      <c r="I859" s="244"/>
      <c r="J859" s="244"/>
      <c r="K859" s="186">
        <f t="shared" si="161"/>
        <v>96.329999999999984</v>
      </c>
      <c r="L859" s="321" t="e">
        <f t="shared" si="162"/>
        <v>#REF!</v>
      </c>
      <c r="M859" s="450"/>
      <c r="N859" s="131" t="e">
        <f>IF(ISNA(MATCH(C859,#REF!,0)),"",INDEX(#REF!,MATCH(C859,#REF!,0)))</f>
        <v>#REF!</v>
      </c>
      <c r="O859" s="114" t="e">
        <f>SUMIF(#REF!,C859,#REF!)</f>
        <v>#REF!</v>
      </c>
      <c r="P859" s="114" t="s">
        <v>46</v>
      </c>
    </row>
    <row r="860" spans="2:16" ht="39" x14ac:dyDescent="0.3">
      <c r="B860" s="134"/>
      <c r="C860" s="201" t="s">
        <v>332</v>
      </c>
      <c r="D860" s="182" t="s">
        <v>746</v>
      </c>
      <c r="E860" s="259" t="s">
        <v>970</v>
      </c>
      <c r="F860" s="316">
        <v>8</v>
      </c>
      <c r="G860" s="207">
        <f t="shared" si="160"/>
        <v>782.68124999999998</v>
      </c>
      <c r="H860" s="187">
        <v>845</v>
      </c>
      <c r="I860" s="244"/>
      <c r="J860" s="244"/>
      <c r="K860" s="186">
        <f t="shared" si="161"/>
        <v>6261.45</v>
      </c>
      <c r="L860" s="321" t="e">
        <f t="shared" si="162"/>
        <v>#REF!</v>
      </c>
      <c r="M860" s="450"/>
      <c r="N860" s="131" t="e">
        <f>IF(ISNA(MATCH(C860,#REF!,0)),"",INDEX(#REF!,MATCH(C860,#REF!,0)))</f>
        <v>#REF!</v>
      </c>
      <c r="O860" s="114" t="e">
        <f>SUMIF(#REF!,C860,#REF!)</f>
        <v>#REF!</v>
      </c>
      <c r="P860" s="114" t="s">
        <v>46</v>
      </c>
    </row>
    <row r="861" spans="2:16" ht="26" x14ac:dyDescent="0.3">
      <c r="B861" s="134"/>
      <c r="C861" s="201"/>
      <c r="D861" s="182" t="s">
        <v>895</v>
      </c>
      <c r="E861" s="259"/>
      <c r="F861" s="316"/>
      <c r="G861" s="207"/>
      <c r="H861" s="187"/>
      <c r="I861" s="244"/>
      <c r="J861" s="244"/>
      <c r="K861" s="186"/>
      <c r="L861" s="186" t="e">
        <f>K861-O861</f>
        <v>#REF!</v>
      </c>
      <c r="M861" s="450"/>
      <c r="N861" s="131" t="e">
        <f>IF(ISNA(MATCH(C861,#REF!,0)),"",INDEX(#REF!,MATCH(C861,#REF!,0)))</f>
        <v>#REF!</v>
      </c>
      <c r="O861" s="114" t="e">
        <f>SUMIF(#REF!,C861,#REF!)</f>
        <v>#REF!</v>
      </c>
      <c r="P861" s="114" t="s">
        <v>46</v>
      </c>
    </row>
    <row r="862" spans="2:16" x14ac:dyDescent="0.3">
      <c r="B862" s="134"/>
      <c r="C862" s="201" t="s">
        <v>333</v>
      </c>
      <c r="D862" s="182" t="s">
        <v>748</v>
      </c>
      <c r="E862" s="259" t="s">
        <v>970</v>
      </c>
      <c r="F862" s="316">
        <v>1</v>
      </c>
      <c r="G862" s="207">
        <f t="shared" si="160"/>
        <v>4031.04</v>
      </c>
      <c r="H862" s="187">
        <v>544</v>
      </c>
      <c r="I862" s="244"/>
      <c r="J862" s="244"/>
      <c r="K862" s="186">
        <f t="shared" ref="K862:K872" si="163">H862*$C$4*$C$5</f>
        <v>4031.04</v>
      </c>
      <c r="L862" s="321" t="e">
        <f t="shared" ref="L862:L872" si="164">IF(N862="поставка Заказчика",N862,K862)</f>
        <v>#REF!</v>
      </c>
      <c r="M862" s="450"/>
      <c r="N862" s="131" t="e">
        <f>IF(ISNA(MATCH(C862,#REF!,0)),"",INDEX(#REF!,MATCH(C862,#REF!,0)))</f>
        <v>#REF!</v>
      </c>
      <c r="O862" s="114" t="e">
        <f>SUMIF(#REF!,C862,#REF!)</f>
        <v>#REF!</v>
      </c>
      <c r="P862" s="114" t="s">
        <v>46</v>
      </c>
    </row>
    <row r="863" spans="2:16" x14ac:dyDescent="0.3">
      <c r="B863" s="134"/>
      <c r="C863" s="201" t="s">
        <v>334</v>
      </c>
      <c r="D863" s="182" t="s">
        <v>749</v>
      </c>
      <c r="E863" s="259" t="s">
        <v>970</v>
      </c>
      <c r="F863" s="316">
        <v>1</v>
      </c>
      <c r="G863" s="207">
        <f t="shared" si="160"/>
        <v>2067.3899999999994</v>
      </c>
      <c r="H863" s="187">
        <v>279</v>
      </c>
      <c r="I863" s="244"/>
      <c r="J863" s="244"/>
      <c r="K863" s="186">
        <f t="shared" si="163"/>
        <v>2067.3899999999994</v>
      </c>
      <c r="L863" s="321" t="e">
        <f t="shared" si="164"/>
        <v>#REF!</v>
      </c>
      <c r="M863" s="450"/>
      <c r="N863" s="131" t="e">
        <f>IF(ISNA(MATCH(C863,#REF!,0)),"",INDEX(#REF!,MATCH(C863,#REF!,0)))</f>
        <v>#REF!</v>
      </c>
      <c r="O863" s="114" t="e">
        <f>SUMIF(#REF!,C863,#REF!)</f>
        <v>#REF!</v>
      </c>
      <c r="P863" s="114" t="s">
        <v>46</v>
      </c>
    </row>
    <row r="864" spans="2:16" ht="26" x14ac:dyDescent="0.3">
      <c r="B864" s="134"/>
      <c r="C864" s="201" t="s">
        <v>335</v>
      </c>
      <c r="D864" s="182" t="s">
        <v>751</v>
      </c>
      <c r="E864" s="259" t="s">
        <v>970</v>
      </c>
      <c r="F864" s="316">
        <v>2</v>
      </c>
      <c r="G864" s="207">
        <f t="shared" si="160"/>
        <v>678.01499999999987</v>
      </c>
      <c r="H864" s="187">
        <f>61+122</f>
        <v>183</v>
      </c>
      <c r="I864" s="244"/>
      <c r="J864" s="244"/>
      <c r="K864" s="186">
        <f t="shared" si="163"/>
        <v>1356.0299999999997</v>
      </c>
      <c r="L864" s="321" t="e">
        <f t="shared" si="164"/>
        <v>#REF!</v>
      </c>
      <c r="M864" s="450"/>
      <c r="N864" s="131" t="e">
        <f>IF(ISNA(MATCH(C864,#REF!,0)),"",INDEX(#REF!,MATCH(C864,#REF!,0)))</f>
        <v>#REF!</v>
      </c>
      <c r="O864" s="114" t="e">
        <f>SUMIF(#REF!,C864,#REF!)</f>
        <v>#REF!</v>
      </c>
      <c r="P864" s="114" t="s">
        <v>46</v>
      </c>
    </row>
    <row r="865" spans="2:16" ht="39" x14ac:dyDescent="0.3">
      <c r="B865" s="134"/>
      <c r="C865" s="201" t="s">
        <v>336</v>
      </c>
      <c r="D865" s="182" t="s">
        <v>752</v>
      </c>
      <c r="E865" s="259" t="s">
        <v>970</v>
      </c>
      <c r="F865" s="316">
        <v>3</v>
      </c>
      <c r="G865" s="207">
        <f t="shared" si="160"/>
        <v>795.34</v>
      </c>
      <c r="H865" s="187">
        <f>16+31+122+31+122</f>
        <v>322</v>
      </c>
      <c r="I865" s="244"/>
      <c r="J865" s="244"/>
      <c r="K865" s="186">
        <f t="shared" si="163"/>
        <v>2386.02</v>
      </c>
      <c r="L865" s="321" t="e">
        <f t="shared" si="164"/>
        <v>#REF!</v>
      </c>
      <c r="M865" s="450"/>
      <c r="N865" s="131" t="e">
        <f>IF(ISNA(MATCH(C865,#REF!,0)),"",INDEX(#REF!,MATCH(C865,#REF!,0)))</f>
        <v>#REF!</v>
      </c>
      <c r="O865" s="114" t="e">
        <f>SUMIF(#REF!,C865,#REF!)</f>
        <v>#REF!</v>
      </c>
      <c r="P865" s="114" t="s">
        <v>46</v>
      </c>
    </row>
    <row r="866" spans="2:16" x14ac:dyDescent="0.3">
      <c r="B866" s="134"/>
      <c r="C866" s="201" t="s">
        <v>337</v>
      </c>
      <c r="D866" s="182" t="s">
        <v>753</v>
      </c>
      <c r="E866" s="259" t="s">
        <v>970</v>
      </c>
      <c r="F866" s="316">
        <v>1</v>
      </c>
      <c r="G866" s="207">
        <f t="shared" si="160"/>
        <v>385.31999999999994</v>
      </c>
      <c r="H866" s="187">
        <v>52</v>
      </c>
      <c r="I866" s="244"/>
      <c r="J866" s="244"/>
      <c r="K866" s="186">
        <f t="shared" si="163"/>
        <v>385.31999999999994</v>
      </c>
      <c r="L866" s="321" t="e">
        <f t="shared" si="164"/>
        <v>#REF!</v>
      </c>
      <c r="M866" s="450"/>
      <c r="N866" s="131" t="e">
        <f>IF(ISNA(MATCH(C866,#REF!,0)),"",INDEX(#REF!,MATCH(C866,#REF!,0)))</f>
        <v>#REF!</v>
      </c>
      <c r="O866" s="114" t="e">
        <f>SUMIF(#REF!,C866,#REF!)</f>
        <v>#REF!</v>
      </c>
      <c r="P866" s="114" t="s">
        <v>46</v>
      </c>
    </row>
    <row r="867" spans="2:16" x14ac:dyDescent="0.3">
      <c r="B867" s="134"/>
      <c r="C867" s="201" t="s">
        <v>338</v>
      </c>
      <c r="D867" s="182" t="s">
        <v>754</v>
      </c>
      <c r="E867" s="259" t="s">
        <v>970</v>
      </c>
      <c r="F867" s="316">
        <v>1</v>
      </c>
      <c r="G867" s="207">
        <f t="shared" si="160"/>
        <v>118.55999999999999</v>
      </c>
      <c r="H867" s="187">
        <v>16</v>
      </c>
      <c r="I867" s="244"/>
      <c r="J867" s="244"/>
      <c r="K867" s="186">
        <f t="shared" si="163"/>
        <v>118.55999999999999</v>
      </c>
      <c r="L867" s="321" t="e">
        <f t="shared" si="164"/>
        <v>#REF!</v>
      </c>
      <c r="M867" s="450"/>
      <c r="N867" s="131" t="e">
        <f>IF(ISNA(MATCH(C867,#REF!,0)),"",INDEX(#REF!,MATCH(C867,#REF!,0)))</f>
        <v>#REF!</v>
      </c>
      <c r="O867" s="114" t="e">
        <f>SUMIF(#REF!,C867,#REF!)</f>
        <v>#REF!</v>
      </c>
      <c r="P867" s="114" t="s">
        <v>46</v>
      </c>
    </row>
    <row r="868" spans="2:16" x14ac:dyDescent="0.3">
      <c r="B868" s="134"/>
      <c r="C868" s="201" t="s">
        <v>339</v>
      </c>
      <c r="D868" s="182" t="s">
        <v>756</v>
      </c>
      <c r="E868" s="259" t="s">
        <v>970</v>
      </c>
      <c r="F868" s="316">
        <v>1</v>
      </c>
      <c r="G868" s="207">
        <f t="shared" si="160"/>
        <v>444.59999999999997</v>
      </c>
      <c r="H868" s="187">
        <v>60</v>
      </c>
      <c r="I868" s="244"/>
      <c r="J868" s="244"/>
      <c r="K868" s="186">
        <f t="shared" si="163"/>
        <v>444.59999999999997</v>
      </c>
      <c r="L868" s="321" t="e">
        <f t="shared" si="164"/>
        <v>#REF!</v>
      </c>
      <c r="M868" s="450"/>
      <c r="N868" s="131" t="e">
        <f>IF(ISNA(MATCH(C868,#REF!,0)),"",INDEX(#REF!,MATCH(C868,#REF!,0)))</f>
        <v>#REF!</v>
      </c>
      <c r="O868" s="114" t="e">
        <f>SUMIF(#REF!,C868,#REF!)</f>
        <v>#REF!</v>
      </c>
      <c r="P868" s="114" t="s">
        <v>46</v>
      </c>
    </row>
    <row r="869" spans="2:16" ht="26" x14ac:dyDescent="0.3">
      <c r="B869" s="134"/>
      <c r="C869" s="201" t="s">
        <v>340</v>
      </c>
      <c r="D869" s="182" t="s">
        <v>755</v>
      </c>
      <c r="E869" s="259" t="s">
        <v>970</v>
      </c>
      <c r="F869" s="316">
        <v>1</v>
      </c>
      <c r="G869" s="207">
        <f t="shared" si="160"/>
        <v>118.55999999999999</v>
      </c>
      <c r="H869" s="187">
        <v>16</v>
      </c>
      <c r="I869" s="244"/>
      <c r="J869" s="244"/>
      <c r="K869" s="186">
        <f t="shared" si="163"/>
        <v>118.55999999999999</v>
      </c>
      <c r="L869" s="321" t="e">
        <f t="shared" si="164"/>
        <v>#REF!</v>
      </c>
      <c r="M869" s="450"/>
      <c r="N869" s="131" t="e">
        <f>IF(ISNA(MATCH(C869,#REF!,0)),"",INDEX(#REF!,MATCH(C869,#REF!,0)))</f>
        <v>#REF!</v>
      </c>
      <c r="O869" s="114" t="e">
        <f>SUMIF(#REF!,C869,#REF!)</f>
        <v>#REF!</v>
      </c>
      <c r="P869" s="114" t="s">
        <v>46</v>
      </c>
    </row>
    <row r="870" spans="2:16" x14ac:dyDescent="0.3">
      <c r="B870" s="134"/>
      <c r="C870" s="201" t="s">
        <v>341</v>
      </c>
      <c r="D870" s="182" t="s">
        <v>757</v>
      </c>
      <c r="E870" s="259" t="s">
        <v>970</v>
      </c>
      <c r="F870" s="316">
        <v>1</v>
      </c>
      <c r="G870" s="207">
        <f t="shared" si="160"/>
        <v>96.329999999999984</v>
      </c>
      <c r="H870" s="187">
        <v>13</v>
      </c>
      <c r="I870" s="244"/>
      <c r="J870" s="244"/>
      <c r="K870" s="186">
        <f t="shared" si="163"/>
        <v>96.329999999999984</v>
      </c>
      <c r="L870" s="321" t="e">
        <f t="shared" si="164"/>
        <v>#REF!</v>
      </c>
      <c r="M870" s="450"/>
      <c r="N870" s="131" t="e">
        <f>IF(ISNA(MATCH(C870,#REF!,0)),"",INDEX(#REF!,MATCH(C870,#REF!,0)))</f>
        <v>#REF!</v>
      </c>
      <c r="O870" s="114" t="e">
        <f>SUMIF(#REF!,C870,#REF!)</f>
        <v>#REF!</v>
      </c>
      <c r="P870" s="114" t="s">
        <v>46</v>
      </c>
    </row>
    <row r="871" spans="2:16" ht="39" x14ac:dyDescent="0.3">
      <c r="B871" s="134"/>
      <c r="C871" s="201" t="s">
        <v>342</v>
      </c>
      <c r="D871" s="182" t="s">
        <v>746</v>
      </c>
      <c r="E871" s="259" t="s">
        <v>970</v>
      </c>
      <c r="F871" s="316">
        <v>12</v>
      </c>
      <c r="G871" s="207">
        <f t="shared" si="160"/>
        <v>819.42250000000001</v>
      </c>
      <c r="H871" s="187">
        <f>1161+17+149</f>
        <v>1327</v>
      </c>
      <c r="I871" s="244"/>
      <c r="J871" s="244"/>
      <c r="K871" s="186">
        <f t="shared" si="163"/>
        <v>9833.07</v>
      </c>
      <c r="L871" s="321" t="e">
        <f t="shared" si="164"/>
        <v>#REF!</v>
      </c>
      <c r="M871" s="450"/>
      <c r="N871" s="131" t="e">
        <f>IF(ISNA(MATCH(C871,#REF!,0)),"",INDEX(#REF!,MATCH(C871,#REF!,0)))</f>
        <v>#REF!</v>
      </c>
      <c r="O871" s="114" t="e">
        <f>SUMIF(#REF!,C871,#REF!)</f>
        <v>#REF!</v>
      </c>
      <c r="P871" s="114" t="s">
        <v>46</v>
      </c>
    </row>
    <row r="872" spans="2:16" x14ac:dyDescent="0.3">
      <c r="B872" s="134"/>
      <c r="C872" s="201" t="s">
        <v>343</v>
      </c>
      <c r="D872" s="182" t="s">
        <v>758</v>
      </c>
      <c r="E872" s="259" t="s">
        <v>970</v>
      </c>
      <c r="F872" s="316">
        <v>8</v>
      </c>
      <c r="G872" s="207">
        <f t="shared" si="160"/>
        <v>226.93124999999998</v>
      </c>
      <c r="H872" s="187">
        <f>228+17</f>
        <v>245</v>
      </c>
      <c r="I872" s="244"/>
      <c r="J872" s="244"/>
      <c r="K872" s="186">
        <f t="shared" si="163"/>
        <v>1815.4499999999998</v>
      </c>
      <c r="L872" s="321" t="e">
        <f t="shared" si="164"/>
        <v>#REF!</v>
      </c>
      <c r="M872" s="450"/>
      <c r="N872" s="131" t="e">
        <f>IF(ISNA(MATCH(C872,#REF!,0)),"",INDEX(#REF!,MATCH(C872,#REF!,0)))</f>
        <v>#REF!</v>
      </c>
      <c r="O872" s="114" t="e">
        <f>SUMIF(#REF!,C872,#REF!)</f>
        <v>#REF!</v>
      </c>
      <c r="P872" s="114" t="s">
        <v>46</v>
      </c>
    </row>
    <row r="873" spans="2:16" ht="26" x14ac:dyDescent="0.3">
      <c r="B873" s="134"/>
      <c r="C873" s="201"/>
      <c r="D873" s="182" t="s">
        <v>906</v>
      </c>
      <c r="E873" s="259"/>
      <c r="F873" s="316"/>
      <c r="G873" s="207"/>
      <c r="H873" s="187"/>
      <c r="I873" s="244"/>
      <c r="J873" s="244"/>
      <c r="K873" s="186"/>
      <c r="L873" s="186" t="e">
        <f>K873-O873</f>
        <v>#REF!</v>
      </c>
      <c r="M873" s="450"/>
      <c r="N873" s="131" t="e">
        <f>IF(ISNA(MATCH(C873,#REF!,0)),"",INDEX(#REF!,MATCH(C873,#REF!,0)))</f>
        <v>#REF!</v>
      </c>
      <c r="O873" s="114" t="e">
        <f>SUMIF(#REF!,C873,#REF!)</f>
        <v>#REF!</v>
      </c>
      <c r="P873" s="114" t="s">
        <v>46</v>
      </c>
    </row>
    <row r="874" spans="2:16" x14ac:dyDescent="0.3">
      <c r="B874" s="134"/>
      <c r="C874" s="201" t="s">
        <v>344</v>
      </c>
      <c r="D874" s="182" t="s">
        <v>748</v>
      </c>
      <c r="E874" s="259" t="s">
        <v>970</v>
      </c>
      <c r="F874" s="316">
        <v>1</v>
      </c>
      <c r="G874" s="207">
        <f t="shared" si="160"/>
        <v>4031.04</v>
      </c>
      <c r="H874" s="187">
        <v>544</v>
      </c>
      <c r="I874" s="244"/>
      <c r="J874" s="244"/>
      <c r="K874" s="186">
        <f t="shared" ref="K874:K889" si="165">H874*$C$4*$C$5</f>
        <v>4031.04</v>
      </c>
      <c r="L874" s="321" t="e">
        <f t="shared" ref="L874:L889" si="166">IF(N874="поставка Заказчика",N874,K874)</f>
        <v>#REF!</v>
      </c>
      <c r="M874" s="450"/>
      <c r="N874" s="131" t="e">
        <f>IF(ISNA(MATCH(C874,#REF!,0)),"",INDEX(#REF!,MATCH(C874,#REF!,0)))</f>
        <v>#REF!</v>
      </c>
      <c r="O874" s="114" t="e">
        <f>SUMIF(#REF!,C874,#REF!)</f>
        <v>#REF!</v>
      </c>
      <c r="P874" s="114" t="s">
        <v>46</v>
      </c>
    </row>
    <row r="875" spans="2:16" x14ac:dyDescent="0.3">
      <c r="B875" s="134"/>
      <c r="C875" s="201" t="s">
        <v>345</v>
      </c>
      <c r="D875" s="182" t="s">
        <v>749</v>
      </c>
      <c r="E875" s="259" t="s">
        <v>970</v>
      </c>
      <c r="F875" s="316">
        <v>1</v>
      </c>
      <c r="G875" s="207">
        <f t="shared" si="160"/>
        <v>2067.3899999999994</v>
      </c>
      <c r="H875" s="187">
        <v>279</v>
      </c>
      <c r="I875" s="244"/>
      <c r="J875" s="244"/>
      <c r="K875" s="186">
        <f t="shared" si="165"/>
        <v>2067.3899999999994</v>
      </c>
      <c r="L875" s="321" t="e">
        <f t="shared" si="166"/>
        <v>#REF!</v>
      </c>
      <c r="M875" s="450"/>
      <c r="N875" s="131" t="e">
        <f>IF(ISNA(MATCH(C875,#REF!,0)),"",INDEX(#REF!,MATCH(C875,#REF!,0)))</f>
        <v>#REF!</v>
      </c>
      <c r="O875" s="114" t="e">
        <f>SUMIF(#REF!,C875,#REF!)</f>
        <v>#REF!</v>
      </c>
      <c r="P875" s="114" t="s">
        <v>46</v>
      </c>
    </row>
    <row r="876" spans="2:16" ht="26" x14ac:dyDescent="0.3">
      <c r="B876" s="134"/>
      <c r="C876" s="201" t="s">
        <v>346</v>
      </c>
      <c r="D876" s="182" t="s">
        <v>759</v>
      </c>
      <c r="E876" s="259" t="s">
        <v>970</v>
      </c>
      <c r="F876" s="316">
        <v>3</v>
      </c>
      <c r="G876" s="207">
        <f t="shared" ref="G876:G902" si="167">K876/F876</f>
        <v>190.18999999999997</v>
      </c>
      <c r="H876" s="187">
        <f>61+16</f>
        <v>77</v>
      </c>
      <c r="I876" s="244"/>
      <c r="J876" s="244"/>
      <c r="K876" s="186">
        <f t="shared" si="165"/>
        <v>570.56999999999994</v>
      </c>
      <c r="L876" s="321" t="e">
        <f t="shared" si="166"/>
        <v>#REF!</v>
      </c>
      <c r="M876" s="450"/>
      <c r="N876" s="131" t="e">
        <f>IF(ISNA(MATCH(C876,#REF!,0)),"",INDEX(#REF!,MATCH(C876,#REF!,0)))</f>
        <v>#REF!</v>
      </c>
      <c r="O876" s="114" t="e">
        <f>SUMIF(#REF!,C876,#REF!)</f>
        <v>#REF!</v>
      </c>
      <c r="P876" s="114" t="s">
        <v>46</v>
      </c>
    </row>
    <row r="877" spans="2:16" ht="26" x14ac:dyDescent="0.3">
      <c r="B877" s="134"/>
      <c r="C877" s="201" t="s">
        <v>347</v>
      </c>
      <c r="D877" s="182" t="s">
        <v>760</v>
      </c>
      <c r="E877" s="259" t="s">
        <v>970</v>
      </c>
      <c r="F877" s="316">
        <v>2</v>
      </c>
      <c r="G877" s="207">
        <f t="shared" si="167"/>
        <v>281.57999999999993</v>
      </c>
      <c r="H877" s="187">
        <f>60+16</f>
        <v>76</v>
      </c>
      <c r="I877" s="244"/>
      <c r="J877" s="244"/>
      <c r="K877" s="186">
        <f t="shared" si="165"/>
        <v>563.15999999999985</v>
      </c>
      <c r="L877" s="321" t="e">
        <f t="shared" si="166"/>
        <v>#REF!</v>
      </c>
      <c r="M877" s="450"/>
      <c r="N877" s="131" t="e">
        <f>IF(ISNA(MATCH(C877,#REF!,0)),"",INDEX(#REF!,MATCH(C877,#REF!,0)))</f>
        <v>#REF!</v>
      </c>
      <c r="O877" s="114" t="e">
        <f>SUMIF(#REF!,C877,#REF!)</f>
        <v>#REF!</v>
      </c>
      <c r="P877" s="114" t="s">
        <v>46</v>
      </c>
    </row>
    <row r="878" spans="2:16" x14ac:dyDescent="0.3">
      <c r="B878" s="134"/>
      <c r="C878" s="201" t="s">
        <v>348</v>
      </c>
      <c r="D878" s="182" t="s">
        <v>761</v>
      </c>
      <c r="E878" s="259" t="s">
        <v>948</v>
      </c>
      <c r="F878" s="316">
        <v>4.4999999999999997E-3</v>
      </c>
      <c r="G878" s="207">
        <f t="shared" si="167"/>
        <v>49400</v>
      </c>
      <c r="H878" s="187">
        <f>13+17</f>
        <v>30</v>
      </c>
      <c r="I878" s="244"/>
      <c r="J878" s="244"/>
      <c r="K878" s="186">
        <f t="shared" si="165"/>
        <v>222.29999999999998</v>
      </c>
      <c r="L878" s="321" t="e">
        <f t="shared" si="166"/>
        <v>#REF!</v>
      </c>
      <c r="M878" s="450"/>
      <c r="N878" s="131" t="e">
        <f>IF(ISNA(MATCH(C878,#REF!,0)),"",INDEX(#REF!,MATCH(C878,#REF!,0)))</f>
        <v>#REF!</v>
      </c>
      <c r="O878" s="114" t="e">
        <f>SUMIF(#REF!,C878,#REF!)</f>
        <v>#REF!</v>
      </c>
      <c r="P878" s="114" t="s">
        <v>46</v>
      </c>
    </row>
    <row r="879" spans="2:16" ht="39" x14ac:dyDescent="0.3">
      <c r="B879" s="134"/>
      <c r="C879" s="201" t="s">
        <v>349</v>
      </c>
      <c r="D879" s="182" t="s">
        <v>746</v>
      </c>
      <c r="E879" s="259" t="s">
        <v>970</v>
      </c>
      <c r="F879" s="316">
        <v>3</v>
      </c>
      <c r="G879" s="207">
        <f t="shared" si="167"/>
        <v>782.9899999999999</v>
      </c>
      <c r="H879" s="187">
        <f>317</f>
        <v>317</v>
      </c>
      <c r="I879" s="244"/>
      <c r="J879" s="244"/>
      <c r="K879" s="186">
        <f t="shared" si="165"/>
        <v>2348.9699999999998</v>
      </c>
      <c r="L879" s="321" t="e">
        <f t="shared" si="166"/>
        <v>#REF!</v>
      </c>
      <c r="M879" s="450"/>
      <c r="N879" s="131" t="e">
        <f>IF(ISNA(MATCH(C879,#REF!,0)),"",INDEX(#REF!,MATCH(C879,#REF!,0)))</f>
        <v>#REF!</v>
      </c>
      <c r="O879" s="114" t="e">
        <f>SUMIF(#REF!,C879,#REF!)</f>
        <v>#REF!</v>
      </c>
      <c r="P879" s="114" t="s">
        <v>46</v>
      </c>
    </row>
    <row r="880" spans="2:16" x14ac:dyDescent="0.3">
      <c r="B880" s="134"/>
      <c r="C880" s="201" t="s">
        <v>350</v>
      </c>
      <c r="D880" s="182" t="s">
        <v>758</v>
      </c>
      <c r="E880" s="259" t="s">
        <v>970</v>
      </c>
      <c r="F880" s="316">
        <v>8</v>
      </c>
      <c r="G880" s="207">
        <f t="shared" si="167"/>
        <v>211.18499999999997</v>
      </c>
      <c r="H880" s="187">
        <v>228</v>
      </c>
      <c r="I880" s="244"/>
      <c r="J880" s="244"/>
      <c r="K880" s="186">
        <f t="shared" si="165"/>
        <v>1689.4799999999998</v>
      </c>
      <c r="L880" s="321" t="e">
        <f t="shared" si="166"/>
        <v>#REF!</v>
      </c>
      <c r="M880" s="450"/>
      <c r="N880" s="131" t="e">
        <f>IF(ISNA(MATCH(C880,#REF!,0)),"",INDEX(#REF!,MATCH(C880,#REF!,0)))</f>
        <v>#REF!</v>
      </c>
      <c r="O880" s="114" t="e">
        <f>SUMIF(#REF!,C880,#REF!)</f>
        <v>#REF!</v>
      </c>
      <c r="P880" s="114" t="s">
        <v>46</v>
      </c>
    </row>
    <row r="881" spans="1:16" ht="26" x14ac:dyDescent="0.3">
      <c r="B881" s="134"/>
      <c r="C881" s="201" t="s">
        <v>351</v>
      </c>
      <c r="D881" s="182" t="s">
        <v>762</v>
      </c>
      <c r="E881" s="259" t="s">
        <v>948</v>
      </c>
      <c r="F881" s="316">
        <v>9.6</v>
      </c>
      <c r="G881" s="207">
        <f t="shared" si="167"/>
        <v>2239.9812500000003</v>
      </c>
      <c r="H881" s="187">
        <v>2902</v>
      </c>
      <c r="I881" s="244"/>
      <c r="J881" s="244"/>
      <c r="K881" s="186">
        <f t="shared" si="165"/>
        <v>21503.82</v>
      </c>
      <c r="L881" s="321" t="e">
        <f t="shared" si="166"/>
        <v>#REF!</v>
      </c>
      <c r="M881" s="450"/>
      <c r="N881" s="131" t="e">
        <f>IF(ISNA(MATCH(C881,#REF!,0)),"",INDEX(#REF!,MATCH(C881,#REF!,0)))</f>
        <v>#REF!</v>
      </c>
      <c r="O881" s="114" t="e">
        <f>SUMIF(#REF!,C881,#REF!)</f>
        <v>#REF!</v>
      </c>
      <c r="P881" s="114" t="s">
        <v>46</v>
      </c>
    </row>
    <row r="882" spans="1:16" x14ac:dyDescent="0.3">
      <c r="B882" s="134"/>
      <c r="C882" s="201" t="s">
        <v>352</v>
      </c>
      <c r="D882" s="182" t="s">
        <v>763</v>
      </c>
      <c r="E882" s="259" t="s">
        <v>970</v>
      </c>
      <c r="F882" s="316">
        <v>28</v>
      </c>
      <c r="G882" s="207">
        <f t="shared" si="167"/>
        <v>1845.8839285714282</v>
      </c>
      <c r="H882" s="187">
        <f>6816+159</f>
        <v>6975</v>
      </c>
      <c r="I882" s="244"/>
      <c r="J882" s="244"/>
      <c r="K882" s="186">
        <f t="shared" si="165"/>
        <v>51684.749999999993</v>
      </c>
      <c r="L882" s="321" t="e">
        <f t="shared" si="166"/>
        <v>#REF!</v>
      </c>
      <c r="M882" s="450"/>
      <c r="N882" s="131" t="e">
        <f>IF(ISNA(MATCH(C882,#REF!,0)),"",INDEX(#REF!,MATCH(C882,#REF!,0)))</f>
        <v>#REF!</v>
      </c>
      <c r="O882" s="114" t="e">
        <f>SUMIF(#REF!,C882,#REF!)</f>
        <v>#REF!</v>
      </c>
      <c r="P882" s="114" t="s">
        <v>46</v>
      </c>
    </row>
    <row r="883" spans="1:16" ht="26" x14ac:dyDescent="0.3">
      <c r="B883" s="134"/>
      <c r="C883" s="201" t="s">
        <v>353</v>
      </c>
      <c r="D883" s="182" t="s">
        <v>764</v>
      </c>
      <c r="E883" s="259" t="s">
        <v>948</v>
      </c>
      <c r="F883" s="316">
        <f>10.5+0.76</f>
        <v>11.26</v>
      </c>
      <c r="G883" s="207">
        <f t="shared" si="167"/>
        <v>17895.873889875664</v>
      </c>
      <c r="H883" s="187">
        <f>26224+970</f>
        <v>27194</v>
      </c>
      <c r="I883" s="244"/>
      <c r="J883" s="244"/>
      <c r="K883" s="186">
        <f t="shared" si="165"/>
        <v>201507.53999999998</v>
      </c>
      <c r="L883" s="321" t="e">
        <f t="shared" si="166"/>
        <v>#REF!</v>
      </c>
      <c r="M883" s="450"/>
      <c r="N883" s="131" t="e">
        <f>IF(ISNA(MATCH(C883,#REF!,0)),"",INDEX(#REF!,MATCH(C883,#REF!,0)))</f>
        <v>#REF!</v>
      </c>
      <c r="O883" s="114" t="e">
        <f>SUMIF(#REF!,C883,#REF!)</f>
        <v>#REF!</v>
      </c>
      <c r="P883" s="114" t="s">
        <v>46</v>
      </c>
    </row>
    <row r="884" spans="1:16" ht="39" x14ac:dyDescent="0.3">
      <c r="B884" s="134"/>
      <c r="C884" s="201" t="s">
        <v>354</v>
      </c>
      <c r="D884" s="182" t="s">
        <v>765</v>
      </c>
      <c r="E884" s="259" t="s">
        <v>948</v>
      </c>
      <c r="F884" s="316">
        <f>5.607+5.548</f>
        <v>11.155000000000001</v>
      </c>
      <c r="G884" s="207">
        <f t="shared" si="167"/>
        <v>23423.039892424913</v>
      </c>
      <c r="H884" s="187">
        <f>23628+11633</f>
        <v>35261</v>
      </c>
      <c r="I884" s="244"/>
      <c r="J884" s="244"/>
      <c r="K884" s="186">
        <f t="shared" si="165"/>
        <v>261284.00999999995</v>
      </c>
      <c r="L884" s="321" t="e">
        <f t="shared" si="166"/>
        <v>#REF!</v>
      </c>
      <c r="M884" s="450"/>
      <c r="N884" s="131" t="e">
        <f>IF(ISNA(MATCH(C884,#REF!,0)),"",INDEX(#REF!,MATCH(C884,#REF!,0)))</f>
        <v>#REF!</v>
      </c>
      <c r="O884" s="114" t="e">
        <f>SUMIF(#REF!,C884,#REF!)</f>
        <v>#REF!</v>
      </c>
      <c r="P884" s="114" t="s">
        <v>46</v>
      </c>
    </row>
    <row r="885" spans="1:16" ht="26" x14ac:dyDescent="0.3">
      <c r="B885" s="134"/>
      <c r="C885" s="201" t="s">
        <v>355</v>
      </c>
      <c r="D885" s="182" t="s">
        <v>766</v>
      </c>
      <c r="E885" s="259" t="s">
        <v>948</v>
      </c>
      <c r="F885" s="316">
        <v>148.71899999999999</v>
      </c>
      <c r="G885" s="207">
        <f t="shared" si="167"/>
        <v>7662.6651604704166</v>
      </c>
      <c r="H885" s="187">
        <v>153790</v>
      </c>
      <c r="I885" s="244"/>
      <c r="J885" s="244"/>
      <c r="K885" s="186">
        <f t="shared" si="165"/>
        <v>1139583.8999999999</v>
      </c>
      <c r="L885" s="321" t="e">
        <f t="shared" si="166"/>
        <v>#REF!</v>
      </c>
      <c r="M885" s="450"/>
      <c r="N885" s="131" t="e">
        <f>IF(ISNA(MATCH(C885,#REF!,0)),"",INDEX(#REF!,MATCH(C885,#REF!,0)))</f>
        <v>#REF!</v>
      </c>
      <c r="O885" s="114" t="e">
        <f>SUMIF(#REF!,C885,#REF!)</f>
        <v>#REF!</v>
      </c>
      <c r="P885" s="114" t="s">
        <v>46</v>
      </c>
    </row>
    <row r="886" spans="1:16" x14ac:dyDescent="0.3">
      <c r="B886" s="134"/>
      <c r="C886" s="201" t="s">
        <v>356</v>
      </c>
      <c r="D886" s="182" t="s">
        <v>967</v>
      </c>
      <c r="E886" s="259" t="s">
        <v>970</v>
      </c>
      <c r="F886" s="316">
        <f>218+28+6+26+16</f>
        <v>294</v>
      </c>
      <c r="G886" s="207">
        <f t="shared" si="167"/>
        <v>236.91836734693874</v>
      </c>
      <c r="H886" s="187">
        <f>6285+907+236+1155+817</f>
        <v>9400</v>
      </c>
      <c r="I886" s="244"/>
      <c r="J886" s="244"/>
      <c r="K886" s="186">
        <f t="shared" si="165"/>
        <v>69653.999999999985</v>
      </c>
      <c r="L886" s="321" t="e">
        <f t="shared" si="166"/>
        <v>#REF!</v>
      </c>
      <c r="M886" s="450"/>
      <c r="N886" s="131" t="e">
        <f>IF(ISNA(MATCH(C886,#REF!,0)),"",INDEX(#REF!,MATCH(C886,#REF!,0)))</f>
        <v>#REF!</v>
      </c>
      <c r="O886" s="114" t="e">
        <f>SUMIF(#REF!,C886,#REF!)</f>
        <v>#REF!</v>
      </c>
      <c r="P886" s="114" t="s">
        <v>46</v>
      </c>
    </row>
    <row r="887" spans="1:16" x14ac:dyDescent="0.3">
      <c r="B887" s="134"/>
      <c r="C887" s="201" t="s">
        <v>357</v>
      </c>
      <c r="D887" s="182" t="s">
        <v>767</v>
      </c>
      <c r="E887" s="259" t="s">
        <v>157</v>
      </c>
      <c r="F887" s="316">
        <v>17.920000000000002</v>
      </c>
      <c r="G887" s="207">
        <f t="shared" si="167"/>
        <v>2222.5864955357138</v>
      </c>
      <c r="H887" s="187">
        <v>5375</v>
      </c>
      <c r="I887" s="244"/>
      <c r="J887" s="244"/>
      <c r="K887" s="186">
        <f t="shared" si="165"/>
        <v>39828.749999999993</v>
      </c>
      <c r="L887" s="321" t="e">
        <f t="shared" si="166"/>
        <v>#REF!</v>
      </c>
      <c r="M887" s="450"/>
      <c r="N887" s="131" t="e">
        <f>IF(ISNA(MATCH(C887,#REF!,0)),"",INDEX(#REF!,MATCH(C887,#REF!,0)))</f>
        <v>#REF!</v>
      </c>
      <c r="O887" s="114" t="e">
        <f>SUMIF(#REF!,C887,#REF!)</f>
        <v>#REF!</v>
      </c>
      <c r="P887" s="114" t="s">
        <v>46</v>
      </c>
    </row>
    <row r="888" spans="1:16" ht="26" x14ac:dyDescent="0.3">
      <c r="B888" s="134"/>
      <c r="C888" s="201" t="s">
        <v>358</v>
      </c>
      <c r="D888" s="182" t="s">
        <v>768</v>
      </c>
      <c r="E888" s="259" t="s">
        <v>948</v>
      </c>
      <c r="F888" s="316">
        <v>0.38800000000000001</v>
      </c>
      <c r="G888" s="207">
        <f t="shared" si="167"/>
        <v>20969.536082474224</v>
      </c>
      <c r="H888" s="187">
        <v>1098</v>
      </c>
      <c r="I888" s="244"/>
      <c r="J888" s="244"/>
      <c r="K888" s="186">
        <f t="shared" si="165"/>
        <v>8136.1799999999985</v>
      </c>
      <c r="L888" s="321" t="e">
        <f t="shared" si="166"/>
        <v>#REF!</v>
      </c>
      <c r="M888" s="450"/>
      <c r="N888" s="131" t="e">
        <f>IF(ISNA(MATCH(C888,#REF!,0)),"",INDEX(#REF!,MATCH(C888,#REF!,0)))</f>
        <v>#REF!</v>
      </c>
      <c r="O888" s="114" t="e">
        <f>SUMIF(#REF!,C888,#REF!)</f>
        <v>#REF!</v>
      </c>
      <c r="P888" s="114" t="s">
        <v>46</v>
      </c>
    </row>
    <row r="889" spans="1:16" x14ac:dyDescent="0.3">
      <c r="B889" s="134"/>
      <c r="C889" s="201" t="s">
        <v>359</v>
      </c>
      <c r="D889" s="58" t="s">
        <v>769</v>
      </c>
      <c r="E889" s="259" t="s">
        <v>1036</v>
      </c>
      <c r="F889" s="316">
        <v>1</v>
      </c>
      <c r="G889" s="207">
        <f t="shared" si="167"/>
        <v>733664.1</v>
      </c>
      <c r="H889" s="191">
        <v>99010</v>
      </c>
      <c r="I889" s="346"/>
      <c r="J889" s="346"/>
      <c r="K889" s="186">
        <f t="shared" si="165"/>
        <v>733664.1</v>
      </c>
      <c r="L889" s="321" t="e">
        <f t="shared" si="166"/>
        <v>#REF!</v>
      </c>
      <c r="M889" s="461"/>
      <c r="N889" s="131" t="e">
        <f>IF(ISNA(MATCH(C889,#REF!,0)),"",INDEX(#REF!,MATCH(C889,#REF!,0)))</f>
        <v>#REF!</v>
      </c>
      <c r="O889" s="114" t="e">
        <f>SUMIF(#REF!,C889,#REF!)</f>
        <v>#REF!</v>
      </c>
      <c r="P889" s="114" t="s">
        <v>46</v>
      </c>
    </row>
    <row r="890" spans="1:16" s="30" customFormat="1" x14ac:dyDescent="0.3">
      <c r="A890" s="31"/>
      <c r="B890" s="132"/>
      <c r="C890" s="201"/>
      <c r="D890" s="58" t="s">
        <v>1064</v>
      </c>
      <c r="E890" s="259"/>
      <c r="F890" s="316"/>
      <c r="G890" s="207"/>
      <c r="H890" s="191"/>
      <c r="I890" s="346"/>
      <c r="J890" s="346"/>
      <c r="K890" s="186"/>
      <c r="L890" s="186" t="e">
        <f>K890-O890</f>
        <v>#REF!</v>
      </c>
      <c r="M890" s="461"/>
      <c r="N890" s="131" t="e">
        <f>IF(ISNA(MATCH(C890,#REF!,0)),"",INDEX(#REF!,MATCH(C890,#REF!,0)))</f>
        <v>#REF!</v>
      </c>
      <c r="O890" s="114" t="e">
        <f>SUMIF(#REF!,C890,#REF!)</f>
        <v>#REF!</v>
      </c>
      <c r="P890" s="114" t="s">
        <v>46</v>
      </c>
    </row>
    <row r="891" spans="1:16" x14ac:dyDescent="0.3">
      <c r="B891" s="134"/>
      <c r="C891" s="201" t="s">
        <v>360</v>
      </c>
      <c r="D891" s="182" t="s">
        <v>770</v>
      </c>
      <c r="E891" s="259" t="s">
        <v>970</v>
      </c>
      <c r="F891" s="316">
        <v>5</v>
      </c>
      <c r="G891" s="207">
        <f t="shared" si="167"/>
        <v>991.45799999999997</v>
      </c>
      <c r="H891" s="187">
        <v>669</v>
      </c>
      <c r="I891" s="244"/>
      <c r="J891" s="244"/>
      <c r="K891" s="186">
        <f t="shared" ref="K891:K920" si="168">H891*$C$4*$C$5</f>
        <v>4957.29</v>
      </c>
      <c r="L891" s="321" t="e">
        <f t="shared" ref="L891:L920" si="169">IF(N891="поставка Заказчика",N891,K891)</f>
        <v>#REF!</v>
      </c>
      <c r="M891" s="450"/>
      <c r="N891" s="131" t="e">
        <f>IF(ISNA(MATCH(C891,#REF!,0)),"",INDEX(#REF!,MATCH(C891,#REF!,0)))</f>
        <v>#REF!</v>
      </c>
      <c r="O891" s="114" t="e">
        <f>SUMIF(#REF!,C891,#REF!)</f>
        <v>#REF!</v>
      </c>
      <c r="P891" s="114" t="s">
        <v>46</v>
      </c>
    </row>
    <row r="892" spans="1:16" ht="26" x14ac:dyDescent="0.3">
      <c r="B892" s="134"/>
      <c r="C892" s="201" t="s">
        <v>361</v>
      </c>
      <c r="D892" s="182" t="s">
        <v>873</v>
      </c>
      <c r="E892" s="259" t="s">
        <v>970</v>
      </c>
      <c r="F892" s="316">
        <v>2</v>
      </c>
      <c r="G892" s="207">
        <f t="shared" si="167"/>
        <v>2612.0249999999996</v>
      </c>
      <c r="H892" s="187">
        <v>705</v>
      </c>
      <c r="I892" s="244"/>
      <c r="J892" s="244"/>
      <c r="K892" s="186">
        <f t="shared" si="168"/>
        <v>5224.0499999999993</v>
      </c>
      <c r="L892" s="321" t="e">
        <f t="shared" si="169"/>
        <v>#REF!</v>
      </c>
      <c r="M892" s="450"/>
      <c r="N892" s="131" t="e">
        <f>IF(ISNA(MATCH(C892,#REF!,0)),"",INDEX(#REF!,MATCH(C892,#REF!,0)))</f>
        <v>#REF!</v>
      </c>
      <c r="O892" s="114" t="e">
        <f>SUMIF(#REF!,C892,#REF!)</f>
        <v>#REF!</v>
      </c>
      <c r="P892" s="114" t="s">
        <v>46</v>
      </c>
    </row>
    <row r="893" spans="1:16" ht="26" x14ac:dyDescent="0.3">
      <c r="B893" s="134"/>
      <c r="C893" s="201" t="s">
        <v>362</v>
      </c>
      <c r="D893" s="182" t="s">
        <v>735</v>
      </c>
      <c r="E893" s="259" t="s">
        <v>970</v>
      </c>
      <c r="F893" s="316">
        <v>2</v>
      </c>
      <c r="G893" s="207">
        <f t="shared" si="167"/>
        <v>3690.1799999999994</v>
      </c>
      <c r="H893" s="187">
        <v>996</v>
      </c>
      <c r="I893" s="244"/>
      <c r="J893" s="244"/>
      <c r="K893" s="186">
        <f t="shared" si="168"/>
        <v>7380.3599999999988</v>
      </c>
      <c r="L893" s="321" t="e">
        <f t="shared" si="169"/>
        <v>#REF!</v>
      </c>
      <c r="M893" s="450"/>
      <c r="N893" s="131" t="e">
        <f>IF(ISNA(MATCH(C893,#REF!,0)),"",INDEX(#REF!,MATCH(C893,#REF!,0)))</f>
        <v>#REF!</v>
      </c>
      <c r="O893" s="114" t="e">
        <f>SUMIF(#REF!,C893,#REF!)</f>
        <v>#REF!</v>
      </c>
      <c r="P893" s="114" t="s">
        <v>46</v>
      </c>
    </row>
    <row r="894" spans="1:16" ht="26" x14ac:dyDescent="0.3">
      <c r="B894" s="134"/>
      <c r="C894" s="201" t="s">
        <v>363</v>
      </c>
      <c r="D894" s="182" t="s">
        <v>736</v>
      </c>
      <c r="E894" s="259" t="s">
        <v>970</v>
      </c>
      <c r="F894" s="316">
        <v>2</v>
      </c>
      <c r="G894" s="207">
        <f t="shared" si="167"/>
        <v>4920.24</v>
      </c>
      <c r="H894" s="187">
        <v>1328</v>
      </c>
      <c r="I894" s="244"/>
      <c r="J894" s="244"/>
      <c r="K894" s="186">
        <f t="shared" si="168"/>
        <v>9840.48</v>
      </c>
      <c r="L894" s="321" t="e">
        <f t="shared" si="169"/>
        <v>#REF!</v>
      </c>
      <c r="M894" s="450"/>
      <c r="N894" s="131" t="e">
        <f>IF(ISNA(MATCH(C894,#REF!,0)),"",INDEX(#REF!,MATCH(C894,#REF!,0)))</f>
        <v>#REF!</v>
      </c>
      <c r="O894" s="114" t="e">
        <f>SUMIF(#REF!,C894,#REF!)</f>
        <v>#REF!</v>
      </c>
      <c r="P894" s="114" t="s">
        <v>46</v>
      </c>
    </row>
    <row r="895" spans="1:16" x14ac:dyDescent="0.3">
      <c r="B895" s="134"/>
      <c r="C895" s="201" t="s">
        <v>364</v>
      </c>
      <c r="D895" s="182" t="s">
        <v>771</v>
      </c>
      <c r="E895" s="259" t="s">
        <v>970</v>
      </c>
      <c r="F895" s="316">
        <v>4</v>
      </c>
      <c r="G895" s="207">
        <f t="shared" si="167"/>
        <v>637.26</v>
      </c>
      <c r="H895" s="187">
        <v>344</v>
      </c>
      <c r="I895" s="244"/>
      <c r="J895" s="244"/>
      <c r="K895" s="186">
        <f t="shared" si="168"/>
        <v>2549.04</v>
      </c>
      <c r="L895" s="321" t="e">
        <f t="shared" si="169"/>
        <v>#REF!</v>
      </c>
      <c r="M895" s="450"/>
      <c r="N895" s="131" t="e">
        <f>IF(ISNA(MATCH(C895,#REF!,0)),"",INDEX(#REF!,MATCH(C895,#REF!,0)))</f>
        <v>#REF!</v>
      </c>
      <c r="O895" s="114" t="e">
        <f>SUMIF(#REF!,C895,#REF!)</f>
        <v>#REF!</v>
      </c>
      <c r="P895" s="114" t="s">
        <v>46</v>
      </c>
    </row>
    <row r="896" spans="1:16" ht="26" x14ac:dyDescent="0.3">
      <c r="B896" s="134"/>
      <c r="C896" s="201" t="s">
        <v>365</v>
      </c>
      <c r="D896" s="182" t="s">
        <v>772</v>
      </c>
      <c r="E896" s="259" t="s">
        <v>970</v>
      </c>
      <c r="F896" s="316">
        <v>4</v>
      </c>
      <c r="G896" s="207">
        <f t="shared" si="167"/>
        <v>1609.8225</v>
      </c>
      <c r="H896" s="187">
        <v>869</v>
      </c>
      <c r="I896" s="244"/>
      <c r="J896" s="244"/>
      <c r="K896" s="186">
        <f t="shared" si="168"/>
        <v>6439.29</v>
      </c>
      <c r="L896" s="321" t="e">
        <f t="shared" si="169"/>
        <v>#REF!</v>
      </c>
      <c r="M896" s="450"/>
      <c r="N896" s="131" t="e">
        <f>IF(ISNA(MATCH(C896,#REF!,0)),"",INDEX(#REF!,MATCH(C896,#REF!,0)))</f>
        <v>#REF!</v>
      </c>
      <c r="O896" s="114" t="e">
        <f>SUMIF(#REF!,C896,#REF!)</f>
        <v>#REF!</v>
      </c>
      <c r="P896" s="114" t="s">
        <v>46</v>
      </c>
    </row>
    <row r="897" spans="2:16" x14ac:dyDescent="0.3">
      <c r="B897" s="134"/>
      <c r="C897" s="201" t="s">
        <v>366</v>
      </c>
      <c r="D897" s="182" t="s">
        <v>773</v>
      </c>
      <c r="E897" s="259" t="s">
        <v>970</v>
      </c>
      <c r="F897" s="316">
        <v>4</v>
      </c>
      <c r="G897" s="207">
        <f t="shared" si="167"/>
        <v>1667.25</v>
      </c>
      <c r="H897" s="187">
        <v>900</v>
      </c>
      <c r="I897" s="244"/>
      <c r="J897" s="244"/>
      <c r="K897" s="186">
        <f t="shared" si="168"/>
        <v>6669</v>
      </c>
      <c r="L897" s="321" t="e">
        <f t="shared" si="169"/>
        <v>#REF!</v>
      </c>
      <c r="M897" s="450"/>
      <c r="N897" s="131" t="e">
        <f>IF(ISNA(MATCH(C897,#REF!,0)),"",INDEX(#REF!,MATCH(C897,#REF!,0)))</f>
        <v>#REF!</v>
      </c>
      <c r="O897" s="114" t="e">
        <f>SUMIF(#REF!,C897,#REF!)</f>
        <v>#REF!</v>
      </c>
      <c r="P897" s="114" t="s">
        <v>46</v>
      </c>
    </row>
    <row r="898" spans="2:16" x14ac:dyDescent="0.3">
      <c r="B898" s="134"/>
      <c r="C898" s="201" t="s">
        <v>367</v>
      </c>
      <c r="D898" s="182" t="s">
        <v>774</v>
      </c>
      <c r="E898" s="276" t="s">
        <v>970</v>
      </c>
      <c r="F898" s="208">
        <f>3+2+1+2+310+20</f>
        <v>338</v>
      </c>
      <c r="G898" s="207">
        <f t="shared" si="167"/>
        <v>241.06615384615381</v>
      </c>
      <c r="H898" s="191">
        <f>124+9+11+24+8913+1915</f>
        <v>10996</v>
      </c>
      <c r="I898" s="346"/>
      <c r="J898" s="346"/>
      <c r="K898" s="186">
        <f t="shared" si="168"/>
        <v>81480.359999999986</v>
      </c>
      <c r="L898" s="321" t="e">
        <f t="shared" si="169"/>
        <v>#REF!</v>
      </c>
      <c r="M898" s="450"/>
      <c r="N898" s="131" t="e">
        <f>IF(ISNA(MATCH(C898,#REF!,0)),"",INDEX(#REF!,MATCH(C898,#REF!,0)))</f>
        <v>#REF!</v>
      </c>
      <c r="O898" s="114" t="e">
        <f>SUMIF(#REF!,C898,#REF!)</f>
        <v>#REF!</v>
      </c>
      <c r="P898" s="114" t="s">
        <v>46</v>
      </c>
    </row>
    <row r="899" spans="2:16" ht="39" x14ac:dyDescent="0.3">
      <c r="B899" s="134"/>
      <c r="C899" s="201" t="s">
        <v>368</v>
      </c>
      <c r="D899" s="182" t="s">
        <v>775</v>
      </c>
      <c r="E899" s="276" t="s">
        <v>970</v>
      </c>
      <c r="F899" s="208">
        <f>12+10+14</f>
        <v>36</v>
      </c>
      <c r="G899" s="207">
        <f t="shared" si="167"/>
        <v>126.17583333333333</v>
      </c>
      <c r="H899" s="191">
        <f>38+52+523</f>
        <v>613</v>
      </c>
      <c r="I899" s="346"/>
      <c r="J899" s="346"/>
      <c r="K899" s="186">
        <f t="shared" si="168"/>
        <v>4542.33</v>
      </c>
      <c r="L899" s="321" t="e">
        <f t="shared" si="169"/>
        <v>#REF!</v>
      </c>
      <c r="M899" s="450"/>
      <c r="N899" s="131" t="e">
        <f>IF(ISNA(MATCH(C899,#REF!,0)),"",INDEX(#REF!,MATCH(C899,#REF!,0)))</f>
        <v>#REF!</v>
      </c>
      <c r="O899" s="114" t="e">
        <f>SUMIF(#REF!,C899,#REF!)</f>
        <v>#REF!</v>
      </c>
      <c r="P899" s="114" t="s">
        <v>46</v>
      </c>
    </row>
    <row r="900" spans="2:16" x14ac:dyDescent="0.3">
      <c r="B900" s="134"/>
      <c r="C900" s="201" t="s">
        <v>369</v>
      </c>
      <c r="D900" s="182" t="s">
        <v>776</v>
      </c>
      <c r="E900" s="276" t="s">
        <v>970</v>
      </c>
      <c r="F900" s="208">
        <f>2+22+1+2+1</f>
        <v>28</v>
      </c>
      <c r="G900" s="207">
        <f t="shared" si="167"/>
        <v>758.20178571428562</v>
      </c>
      <c r="H900" s="191">
        <f>190+2063+110+94+408</f>
        <v>2865</v>
      </c>
      <c r="I900" s="346"/>
      <c r="J900" s="346"/>
      <c r="K900" s="186">
        <f t="shared" si="168"/>
        <v>21229.649999999998</v>
      </c>
      <c r="L900" s="321" t="e">
        <f t="shared" si="169"/>
        <v>#REF!</v>
      </c>
      <c r="M900" s="450"/>
      <c r="N900" s="131" t="e">
        <f>IF(ISNA(MATCH(C900,#REF!,0)),"",INDEX(#REF!,MATCH(C900,#REF!,0)))</f>
        <v>#REF!</v>
      </c>
      <c r="O900" s="114" t="e">
        <f>SUMIF(#REF!,C900,#REF!)</f>
        <v>#REF!</v>
      </c>
      <c r="P900" s="114" t="s">
        <v>46</v>
      </c>
    </row>
    <row r="901" spans="2:16" x14ac:dyDescent="0.3">
      <c r="B901" s="134"/>
      <c r="C901" s="201" t="s">
        <v>370</v>
      </c>
      <c r="D901" s="182" t="s">
        <v>777</v>
      </c>
      <c r="E901" s="276" t="s">
        <v>970</v>
      </c>
      <c r="F901" s="208">
        <f>2+4+4+4</f>
        <v>14</v>
      </c>
      <c r="G901" s="207">
        <f t="shared" si="167"/>
        <v>340.33071428571429</v>
      </c>
      <c r="H901" s="191">
        <f>526+12+38+67</f>
        <v>643</v>
      </c>
      <c r="I901" s="346"/>
      <c r="J901" s="346"/>
      <c r="K901" s="186">
        <f t="shared" si="168"/>
        <v>4764.63</v>
      </c>
      <c r="L901" s="321" t="e">
        <f t="shared" si="169"/>
        <v>#REF!</v>
      </c>
      <c r="M901" s="450"/>
      <c r="N901" s="131" t="e">
        <f>IF(ISNA(MATCH(C901,#REF!,0)),"",INDEX(#REF!,MATCH(C901,#REF!,0)))</f>
        <v>#REF!</v>
      </c>
      <c r="O901" s="114" t="e">
        <f>SUMIF(#REF!,C901,#REF!)</f>
        <v>#REF!</v>
      </c>
      <c r="P901" s="114" t="s">
        <v>46</v>
      </c>
    </row>
    <row r="902" spans="2:16" ht="26" x14ac:dyDescent="0.3">
      <c r="B902" s="134"/>
      <c r="C902" s="201" t="s">
        <v>371</v>
      </c>
      <c r="D902" s="182" t="s">
        <v>783</v>
      </c>
      <c r="E902" s="259" t="s">
        <v>971</v>
      </c>
      <c r="F902" s="316">
        <v>260</v>
      </c>
      <c r="G902" s="207">
        <f t="shared" si="167"/>
        <v>132.06899999999999</v>
      </c>
      <c r="H902" s="187">
        <v>4634</v>
      </c>
      <c r="I902" s="244"/>
      <c r="J902" s="244"/>
      <c r="K902" s="186">
        <f t="shared" si="168"/>
        <v>34337.939999999995</v>
      </c>
      <c r="L902" s="321" t="e">
        <f t="shared" si="169"/>
        <v>#REF!</v>
      </c>
      <c r="M902" s="450"/>
      <c r="N902" s="131" t="e">
        <f>IF(ISNA(MATCH(C902,#REF!,0)),"",INDEX(#REF!,MATCH(C902,#REF!,0)))</f>
        <v>#REF!</v>
      </c>
      <c r="O902" s="114" t="e">
        <f>SUMIF(#REF!,C902,#REF!)</f>
        <v>#REF!</v>
      </c>
      <c r="P902" s="114" t="s">
        <v>46</v>
      </c>
    </row>
    <row r="903" spans="2:16" x14ac:dyDescent="0.3">
      <c r="B903" s="134"/>
      <c r="C903" s="201" t="s">
        <v>372</v>
      </c>
      <c r="D903" s="182" t="s">
        <v>784</v>
      </c>
      <c r="E903" s="259" t="s">
        <v>971</v>
      </c>
      <c r="F903" s="316">
        <v>6003</v>
      </c>
      <c r="G903" s="207">
        <f t="shared" ref="G903:G917" si="170">K903/F903</f>
        <v>25.971414292853574</v>
      </c>
      <c r="H903" s="187">
        <v>21040</v>
      </c>
      <c r="I903" s="244"/>
      <c r="J903" s="244"/>
      <c r="K903" s="186">
        <f t="shared" si="168"/>
        <v>155906.4</v>
      </c>
      <c r="L903" s="321" t="e">
        <f t="shared" si="169"/>
        <v>#REF!</v>
      </c>
      <c r="M903" s="450"/>
      <c r="N903" s="131" t="e">
        <f>IF(ISNA(MATCH(C903,#REF!,0)),"",INDEX(#REF!,MATCH(C903,#REF!,0)))</f>
        <v>#REF!</v>
      </c>
      <c r="O903" s="114" t="e">
        <f>SUMIF(#REF!,C903,#REF!)</f>
        <v>#REF!</v>
      </c>
      <c r="P903" s="114" t="s">
        <v>46</v>
      </c>
    </row>
    <row r="904" spans="2:16" x14ac:dyDescent="0.3">
      <c r="B904" s="134"/>
      <c r="C904" s="201" t="s">
        <v>373</v>
      </c>
      <c r="D904" s="182" t="s">
        <v>785</v>
      </c>
      <c r="E904" s="259" t="s">
        <v>971</v>
      </c>
      <c r="F904" s="316">
        <v>3543</v>
      </c>
      <c r="G904" s="207">
        <f t="shared" si="170"/>
        <v>44.142099915325986</v>
      </c>
      <c r="H904" s="187">
        <v>21106</v>
      </c>
      <c r="I904" s="244"/>
      <c r="J904" s="244"/>
      <c r="K904" s="186">
        <f t="shared" si="168"/>
        <v>156395.45999999996</v>
      </c>
      <c r="L904" s="321" t="e">
        <f t="shared" si="169"/>
        <v>#REF!</v>
      </c>
      <c r="M904" s="450"/>
      <c r="N904" s="131" t="e">
        <f>IF(ISNA(MATCH(C904,#REF!,0)),"",INDEX(#REF!,MATCH(C904,#REF!,0)))</f>
        <v>#REF!</v>
      </c>
      <c r="O904" s="114" t="e">
        <f>SUMIF(#REF!,C904,#REF!)</f>
        <v>#REF!</v>
      </c>
      <c r="P904" s="114" t="s">
        <v>46</v>
      </c>
    </row>
    <row r="905" spans="2:16" x14ac:dyDescent="0.3">
      <c r="B905" s="134"/>
      <c r="C905" s="201" t="s">
        <v>374</v>
      </c>
      <c r="D905" s="182" t="s">
        <v>786</v>
      </c>
      <c r="E905" s="259" t="s">
        <v>971</v>
      </c>
      <c r="F905" s="316">
        <v>860</v>
      </c>
      <c r="G905" s="207">
        <f t="shared" si="170"/>
        <v>72.040709302325581</v>
      </c>
      <c r="H905" s="187">
        <v>8361</v>
      </c>
      <c r="I905" s="244"/>
      <c r="J905" s="244"/>
      <c r="K905" s="186">
        <f t="shared" si="168"/>
        <v>61955.009999999995</v>
      </c>
      <c r="L905" s="321" t="e">
        <f t="shared" si="169"/>
        <v>#REF!</v>
      </c>
      <c r="M905" s="450"/>
      <c r="N905" s="131" t="e">
        <f>IF(ISNA(MATCH(C905,#REF!,0)),"",INDEX(#REF!,MATCH(C905,#REF!,0)))</f>
        <v>#REF!</v>
      </c>
      <c r="O905" s="114" t="e">
        <f>SUMIF(#REF!,C905,#REF!)</f>
        <v>#REF!</v>
      </c>
      <c r="P905" s="114" t="s">
        <v>46</v>
      </c>
    </row>
    <row r="906" spans="2:16" x14ac:dyDescent="0.3">
      <c r="B906" s="134"/>
      <c r="C906" s="201" t="s">
        <v>375</v>
      </c>
      <c r="D906" s="182" t="s">
        <v>787</v>
      </c>
      <c r="E906" s="259" t="s">
        <v>971</v>
      </c>
      <c r="F906" s="316">
        <v>2827</v>
      </c>
      <c r="G906" s="207">
        <f t="shared" si="170"/>
        <v>94.188517863459481</v>
      </c>
      <c r="H906" s="187">
        <f>35703+231</f>
        <v>35934</v>
      </c>
      <c r="I906" s="244"/>
      <c r="J906" s="244"/>
      <c r="K906" s="186">
        <f t="shared" si="168"/>
        <v>266270.93999999994</v>
      </c>
      <c r="L906" s="321" t="e">
        <f t="shared" si="169"/>
        <v>#REF!</v>
      </c>
      <c r="M906" s="450"/>
      <c r="N906" s="131" t="e">
        <f>IF(ISNA(MATCH(C906,#REF!,0)),"",INDEX(#REF!,MATCH(C906,#REF!,0)))</f>
        <v>#REF!</v>
      </c>
      <c r="O906" s="114" t="e">
        <f>SUMIF(#REF!,C906,#REF!)</f>
        <v>#REF!</v>
      </c>
      <c r="P906" s="114" t="s">
        <v>46</v>
      </c>
    </row>
    <row r="907" spans="2:16" x14ac:dyDescent="0.3">
      <c r="B907" s="134"/>
      <c r="C907" s="201" t="s">
        <v>376</v>
      </c>
      <c r="D907" s="182" t="s">
        <v>788</v>
      </c>
      <c r="E907" s="259" t="s">
        <v>971</v>
      </c>
      <c r="F907" s="316">
        <v>155</v>
      </c>
      <c r="G907" s="207">
        <f t="shared" si="170"/>
        <v>163.21122580645161</v>
      </c>
      <c r="H907" s="187">
        <v>3414</v>
      </c>
      <c r="I907" s="244"/>
      <c r="J907" s="244"/>
      <c r="K907" s="186">
        <f t="shared" si="168"/>
        <v>25297.739999999998</v>
      </c>
      <c r="L907" s="321" t="e">
        <f t="shared" si="169"/>
        <v>#REF!</v>
      </c>
      <c r="M907" s="450"/>
      <c r="N907" s="131" t="e">
        <f>IF(ISNA(MATCH(C907,#REF!,0)),"",INDEX(#REF!,MATCH(C907,#REF!,0)))</f>
        <v>#REF!</v>
      </c>
      <c r="O907" s="114" t="e">
        <f>SUMIF(#REF!,C907,#REF!)</f>
        <v>#REF!</v>
      </c>
      <c r="P907" s="114" t="s">
        <v>46</v>
      </c>
    </row>
    <row r="908" spans="2:16" x14ac:dyDescent="0.3">
      <c r="B908" s="134"/>
      <c r="C908" s="201" t="s">
        <v>377</v>
      </c>
      <c r="D908" s="182" t="s">
        <v>789</v>
      </c>
      <c r="E908" s="259" t="s">
        <v>971</v>
      </c>
      <c r="F908" s="316">
        <v>465</v>
      </c>
      <c r="G908" s="207">
        <f t="shared" si="170"/>
        <v>210.09341935483869</v>
      </c>
      <c r="H908" s="187">
        <v>13184</v>
      </c>
      <c r="I908" s="244"/>
      <c r="J908" s="244"/>
      <c r="K908" s="186">
        <f t="shared" si="168"/>
        <v>97693.439999999988</v>
      </c>
      <c r="L908" s="321" t="e">
        <f t="shared" si="169"/>
        <v>#REF!</v>
      </c>
      <c r="M908" s="450"/>
      <c r="N908" s="131" t="e">
        <f>IF(ISNA(MATCH(C908,#REF!,0)),"",INDEX(#REF!,MATCH(C908,#REF!,0)))</f>
        <v>#REF!</v>
      </c>
      <c r="O908" s="114" t="e">
        <f>SUMIF(#REF!,C908,#REF!)</f>
        <v>#REF!</v>
      </c>
      <c r="P908" s="114" t="s">
        <v>46</v>
      </c>
    </row>
    <row r="909" spans="2:16" x14ac:dyDescent="0.3">
      <c r="B909" s="134"/>
      <c r="C909" s="201" t="s">
        <v>378</v>
      </c>
      <c r="D909" s="182" t="s">
        <v>790</v>
      </c>
      <c r="E909" s="259" t="s">
        <v>971</v>
      </c>
      <c r="F909" s="316">
        <v>900</v>
      </c>
      <c r="G909" s="207">
        <f t="shared" si="170"/>
        <v>34.596466666666664</v>
      </c>
      <c r="H909" s="187">
        <v>4202</v>
      </c>
      <c r="I909" s="244"/>
      <c r="J909" s="244"/>
      <c r="K909" s="186">
        <f t="shared" si="168"/>
        <v>31136.82</v>
      </c>
      <c r="L909" s="321" t="e">
        <f t="shared" si="169"/>
        <v>#REF!</v>
      </c>
      <c r="M909" s="450"/>
      <c r="N909" s="131" t="e">
        <f>IF(ISNA(MATCH(C909,#REF!,0)),"",INDEX(#REF!,MATCH(C909,#REF!,0)))</f>
        <v>#REF!</v>
      </c>
      <c r="O909" s="114" t="e">
        <f>SUMIF(#REF!,C909,#REF!)</f>
        <v>#REF!</v>
      </c>
      <c r="P909" s="114" t="s">
        <v>46</v>
      </c>
    </row>
    <row r="910" spans="2:16" x14ac:dyDescent="0.3">
      <c r="B910" s="134"/>
      <c r="C910" s="201" t="s">
        <v>379</v>
      </c>
      <c r="D910" s="182" t="s">
        <v>791</v>
      </c>
      <c r="E910" s="259" t="s">
        <v>971</v>
      </c>
      <c r="F910" s="316">
        <v>260</v>
      </c>
      <c r="G910" s="207">
        <f t="shared" si="170"/>
        <v>36.194999999999993</v>
      </c>
      <c r="H910" s="187">
        <v>1270</v>
      </c>
      <c r="I910" s="244"/>
      <c r="J910" s="244"/>
      <c r="K910" s="186">
        <f t="shared" si="168"/>
        <v>9410.6999999999989</v>
      </c>
      <c r="L910" s="321" t="e">
        <f t="shared" si="169"/>
        <v>#REF!</v>
      </c>
      <c r="M910" s="450"/>
      <c r="N910" s="131" t="e">
        <f>IF(ISNA(MATCH(C910,#REF!,0)),"",INDEX(#REF!,MATCH(C910,#REF!,0)))</f>
        <v>#REF!</v>
      </c>
      <c r="O910" s="114" t="e">
        <f>SUMIF(#REF!,C910,#REF!)</f>
        <v>#REF!</v>
      </c>
      <c r="P910" s="114" t="s">
        <v>46</v>
      </c>
    </row>
    <row r="911" spans="2:16" ht="26" x14ac:dyDescent="0.3">
      <c r="B911" s="134"/>
      <c r="C911" s="201" t="s">
        <v>380</v>
      </c>
      <c r="D911" s="182" t="s">
        <v>792</v>
      </c>
      <c r="E911" s="259" t="s">
        <v>793</v>
      </c>
      <c r="F911" s="316">
        <f>0.7+0.1+0.08+0.04</f>
        <v>0.91999999999999993</v>
      </c>
      <c r="G911" s="207">
        <f t="shared" si="170"/>
        <v>8883.9456521739121</v>
      </c>
      <c r="H911" s="187">
        <f>702+128+143+130</f>
        <v>1103</v>
      </c>
      <c r="I911" s="244"/>
      <c r="J911" s="244"/>
      <c r="K911" s="186">
        <f t="shared" si="168"/>
        <v>8173.2299999999987</v>
      </c>
      <c r="L911" s="321" t="e">
        <f t="shared" si="169"/>
        <v>#REF!</v>
      </c>
      <c r="M911" s="450"/>
      <c r="N911" s="131" t="e">
        <f>IF(ISNA(MATCH(C911,#REF!,0)),"",INDEX(#REF!,MATCH(C911,#REF!,0)))</f>
        <v>#REF!</v>
      </c>
      <c r="O911" s="114" t="e">
        <f>SUMIF(#REF!,C911,#REF!)</f>
        <v>#REF!</v>
      </c>
      <c r="P911" s="114" t="s">
        <v>46</v>
      </c>
    </row>
    <row r="912" spans="2:16" ht="26" x14ac:dyDescent="0.3">
      <c r="B912" s="134"/>
      <c r="C912" s="201" t="s">
        <v>381</v>
      </c>
      <c r="D912" s="182" t="s">
        <v>794</v>
      </c>
      <c r="E912" s="259" t="s">
        <v>970</v>
      </c>
      <c r="F912" s="316">
        <v>50</v>
      </c>
      <c r="G912" s="207">
        <f t="shared" si="170"/>
        <v>54.241199999999992</v>
      </c>
      <c r="H912" s="187">
        <f>334+32</f>
        <v>366</v>
      </c>
      <c r="I912" s="244"/>
      <c r="J912" s="244"/>
      <c r="K912" s="186">
        <f t="shared" si="168"/>
        <v>2712.0599999999995</v>
      </c>
      <c r="L912" s="321" t="e">
        <f t="shared" si="169"/>
        <v>#REF!</v>
      </c>
      <c r="M912" s="450"/>
      <c r="N912" s="131" t="e">
        <f>IF(ISNA(MATCH(C912,#REF!,0)),"",INDEX(#REF!,MATCH(C912,#REF!,0)))</f>
        <v>#REF!</v>
      </c>
      <c r="O912" s="114" t="e">
        <f>SUMIF(#REF!,C912,#REF!)</f>
        <v>#REF!</v>
      </c>
      <c r="P912" s="114" t="s">
        <v>46</v>
      </c>
    </row>
    <row r="913" spans="1:16" ht="26" x14ac:dyDescent="0.3">
      <c r="B913" s="134"/>
      <c r="C913" s="201" t="s">
        <v>382</v>
      </c>
      <c r="D913" s="182" t="s">
        <v>795</v>
      </c>
      <c r="E913" s="259" t="s">
        <v>971</v>
      </c>
      <c r="F913" s="316">
        <f>559+19</f>
        <v>578</v>
      </c>
      <c r="G913" s="207">
        <f t="shared" si="170"/>
        <v>70.420640138408302</v>
      </c>
      <c r="H913" s="187">
        <f>5221+272</f>
        <v>5493</v>
      </c>
      <c r="I913" s="244"/>
      <c r="J913" s="244"/>
      <c r="K913" s="186">
        <f t="shared" si="168"/>
        <v>40703.129999999997</v>
      </c>
      <c r="L913" s="321" t="e">
        <f t="shared" si="169"/>
        <v>#REF!</v>
      </c>
      <c r="M913" s="450"/>
      <c r="N913" s="131" t="e">
        <f>IF(ISNA(MATCH(C913,#REF!,0)),"",INDEX(#REF!,MATCH(C913,#REF!,0)))</f>
        <v>#REF!</v>
      </c>
      <c r="O913" s="114" t="e">
        <f>SUMIF(#REF!,C913,#REF!)</f>
        <v>#REF!</v>
      </c>
      <c r="P913" s="114" t="s">
        <v>46</v>
      </c>
    </row>
    <row r="914" spans="1:16" x14ac:dyDescent="0.3">
      <c r="B914" s="134"/>
      <c r="C914" s="201" t="s">
        <v>383</v>
      </c>
      <c r="D914" s="182" t="s">
        <v>796</v>
      </c>
      <c r="E914" s="259" t="s">
        <v>971</v>
      </c>
      <c r="F914" s="316">
        <f>567+5</f>
        <v>572</v>
      </c>
      <c r="G914" s="207">
        <f t="shared" si="170"/>
        <v>19.198636363636361</v>
      </c>
      <c r="H914" s="187">
        <f>1466+16</f>
        <v>1482</v>
      </c>
      <c r="I914" s="244"/>
      <c r="J914" s="244"/>
      <c r="K914" s="186">
        <f t="shared" si="168"/>
        <v>10981.619999999999</v>
      </c>
      <c r="L914" s="321" t="e">
        <f t="shared" si="169"/>
        <v>#REF!</v>
      </c>
      <c r="M914" s="450"/>
      <c r="N914" s="131" t="e">
        <f>IF(ISNA(MATCH(C914,#REF!,0)),"",INDEX(#REF!,MATCH(C914,#REF!,0)))</f>
        <v>#REF!</v>
      </c>
      <c r="O914" s="114" t="e">
        <f>SUMIF(#REF!,C914,#REF!)</f>
        <v>#REF!</v>
      </c>
      <c r="P914" s="114" t="s">
        <v>46</v>
      </c>
    </row>
    <row r="915" spans="1:16" ht="39" x14ac:dyDescent="0.3">
      <c r="B915" s="134"/>
      <c r="C915" s="201" t="s">
        <v>384</v>
      </c>
      <c r="D915" s="182" t="s">
        <v>797</v>
      </c>
      <c r="E915" s="259" t="s">
        <v>970</v>
      </c>
      <c r="F915" s="316">
        <v>10</v>
      </c>
      <c r="G915" s="207">
        <f t="shared" si="170"/>
        <v>7313.67</v>
      </c>
      <c r="H915" s="187">
        <v>9870</v>
      </c>
      <c r="I915" s="244"/>
      <c r="J915" s="244"/>
      <c r="K915" s="186">
        <f t="shared" si="168"/>
        <v>73136.7</v>
      </c>
      <c r="L915" s="321" t="e">
        <f t="shared" si="169"/>
        <v>#REF!</v>
      </c>
      <c r="M915" s="450"/>
      <c r="N915" s="131" t="e">
        <f>IF(ISNA(MATCH(C915,#REF!,0)),"",INDEX(#REF!,MATCH(C915,#REF!,0)))</f>
        <v>#REF!</v>
      </c>
      <c r="O915" s="114" t="e">
        <f>SUMIF(#REF!,C915,#REF!)</f>
        <v>#REF!</v>
      </c>
      <c r="P915" s="114" t="s">
        <v>46</v>
      </c>
    </row>
    <row r="916" spans="1:16" ht="39" x14ac:dyDescent="0.3">
      <c r="B916" s="134"/>
      <c r="C916" s="201" t="s">
        <v>385</v>
      </c>
      <c r="D916" s="182" t="s">
        <v>798</v>
      </c>
      <c r="E916" s="259" t="s">
        <v>970</v>
      </c>
      <c r="F916" s="316">
        <v>10</v>
      </c>
      <c r="G916" s="207">
        <f t="shared" si="170"/>
        <v>6937.2419999999984</v>
      </c>
      <c r="H916" s="187">
        <v>9362</v>
      </c>
      <c r="I916" s="244"/>
      <c r="J916" s="244"/>
      <c r="K916" s="186">
        <f t="shared" si="168"/>
        <v>69372.419999999984</v>
      </c>
      <c r="L916" s="321" t="e">
        <f t="shared" si="169"/>
        <v>#REF!</v>
      </c>
      <c r="M916" s="450"/>
      <c r="N916" s="131" t="e">
        <f>IF(ISNA(MATCH(C916,#REF!,0)),"",INDEX(#REF!,MATCH(C916,#REF!,0)))</f>
        <v>#REF!</v>
      </c>
      <c r="O916" s="114" t="e">
        <f>SUMIF(#REF!,C916,#REF!)</f>
        <v>#REF!</v>
      </c>
      <c r="P916" s="114" t="s">
        <v>46</v>
      </c>
    </row>
    <row r="917" spans="1:16" x14ac:dyDescent="0.3">
      <c r="B917" s="134"/>
      <c r="C917" s="201" t="s">
        <v>386</v>
      </c>
      <c r="D917" s="182" t="s">
        <v>799</v>
      </c>
      <c r="E917" s="259" t="s">
        <v>970</v>
      </c>
      <c r="F917" s="316">
        <v>26</v>
      </c>
      <c r="G917" s="207">
        <f t="shared" si="170"/>
        <v>1631.6249999999998</v>
      </c>
      <c r="H917" s="187">
        <v>5725</v>
      </c>
      <c r="I917" s="244"/>
      <c r="J917" s="244"/>
      <c r="K917" s="186">
        <f t="shared" si="168"/>
        <v>42422.249999999993</v>
      </c>
      <c r="L917" s="321" t="e">
        <f t="shared" si="169"/>
        <v>#REF!</v>
      </c>
      <c r="M917" s="450"/>
      <c r="N917" s="131" t="e">
        <f>IF(ISNA(MATCH(C917,#REF!,0)),"",INDEX(#REF!,MATCH(C917,#REF!,0)))</f>
        <v>#REF!</v>
      </c>
      <c r="O917" s="114" t="e">
        <f>SUMIF(#REF!,C917,#REF!)</f>
        <v>#REF!</v>
      </c>
      <c r="P917" s="114" t="s">
        <v>46</v>
      </c>
    </row>
    <row r="918" spans="1:16" x14ac:dyDescent="0.3">
      <c r="B918" s="134"/>
      <c r="C918" s="201" t="s">
        <v>387</v>
      </c>
      <c r="D918" s="182" t="s">
        <v>800</v>
      </c>
      <c r="E918" s="259" t="s">
        <v>970</v>
      </c>
      <c r="F918" s="316">
        <v>11</v>
      </c>
      <c r="G918" s="207">
        <f>K918/F918</f>
        <v>4045.8599999999992</v>
      </c>
      <c r="H918" s="187">
        <v>6006</v>
      </c>
      <c r="I918" s="244"/>
      <c r="J918" s="244"/>
      <c r="K918" s="186">
        <f t="shared" si="168"/>
        <v>44504.459999999992</v>
      </c>
      <c r="L918" s="321" t="e">
        <f t="shared" si="169"/>
        <v>#REF!</v>
      </c>
      <c r="M918" s="450"/>
      <c r="N918" s="131" t="e">
        <f>IF(ISNA(MATCH(C918,#REF!,0)),"",INDEX(#REF!,MATCH(C918,#REF!,0)))</f>
        <v>#REF!</v>
      </c>
      <c r="O918" s="114" t="e">
        <f>SUMIF(#REF!,C918,#REF!)</f>
        <v>#REF!</v>
      </c>
      <c r="P918" s="114" t="s">
        <v>46</v>
      </c>
    </row>
    <row r="919" spans="1:16" ht="39" x14ac:dyDescent="0.3">
      <c r="B919" s="134"/>
      <c r="C919" s="201" t="s">
        <v>388</v>
      </c>
      <c r="D919" s="182" t="s">
        <v>804</v>
      </c>
      <c r="E919" s="259" t="s">
        <v>970</v>
      </c>
      <c r="F919" s="316">
        <f>525+24+15</f>
        <v>564</v>
      </c>
      <c r="G919" s="207">
        <f>K919/F919</f>
        <v>819.19914893617022</v>
      </c>
      <c r="H919" s="187">
        <f>59142+1849+1361</f>
        <v>62352</v>
      </c>
      <c r="I919" s="244"/>
      <c r="J919" s="244"/>
      <c r="K919" s="186">
        <f t="shared" si="168"/>
        <v>462028.32</v>
      </c>
      <c r="L919" s="321" t="e">
        <f t="shared" si="169"/>
        <v>#REF!</v>
      </c>
      <c r="M919" s="450"/>
      <c r="N919" s="131" t="e">
        <f>IF(ISNA(MATCH(C919,#REF!,0)),"",INDEX(#REF!,MATCH(C919,#REF!,0)))</f>
        <v>#REF!</v>
      </c>
      <c r="O919" s="114" t="e">
        <f>SUMIF(#REF!,C919,#REF!)</f>
        <v>#REF!</v>
      </c>
      <c r="P919" s="114" t="s">
        <v>46</v>
      </c>
    </row>
    <row r="920" spans="1:16" ht="26" x14ac:dyDescent="0.3">
      <c r="B920" s="134"/>
      <c r="C920" s="201" t="s">
        <v>389</v>
      </c>
      <c r="D920" s="182" t="s">
        <v>805</v>
      </c>
      <c r="E920" s="259" t="s">
        <v>971</v>
      </c>
      <c r="F920" s="316">
        <f>36+40</f>
        <v>76</v>
      </c>
      <c r="G920" s="207">
        <f>K920/F920</f>
        <v>59.474999999999994</v>
      </c>
      <c r="H920" s="187">
        <f>248+362</f>
        <v>610</v>
      </c>
      <c r="I920" s="244"/>
      <c r="J920" s="244"/>
      <c r="K920" s="186">
        <f t="shared" si="168"/>
        <v>4520.0999999999995</v>
      </c>
      <c r="L920" s="321" t="e">
        <f t="shared" si="169"/>
        <v>#REF!</v>
      </c>
      <c r="M920" s="450"/>
      <c r="N920" s="131" t="e">
        <f>IF(ISNA(MATCH(C920,#REF!,0)),"",INDEX(#REF!,MATCH(C920,#REF!,0)))</f>
        <v>#REF!</v>
      </c>
      <c r="O920" s="114" t="e">
        <f>SUMIF(#REF!,C920,#REF!)</f>
        <v>#REF!</v>
      </c>
      <c r="P920" s="114" t="s">
        <v>46</v>
      </c>
    </row>
    <row r="921" spans="1:16" ht="26" x14ac:dyDescent="0.3">
      <c r="B921" s="128" t="s">
        <v>806</v>
      </c>
      <c r="C921" s="213" t="s">
        <v>390</v>
      </c>
      <c r="D921" s="60" t="s">
        <v>807</v>
      </c>
      <c r="E921" s="214"/>
      <c r="F921" s="215"/>
      <c r="G921" s="211"/>
      <c r="H921" s="304">
        <f>H926</f>
        <v>577</v>
      </c>
      <c r="I921" s="347"/>
      <c r="J921" s="347"/>
      <c r="K921" s="205">
        <f>K926</f>
        <v>4275.57</v>
      </c>
      <c r="L921" s="205" t="e">
        <f>L926</f>
        <v>#REF!</v>
      </c>
      <c r="M921" s="450" t="s">
        <v>1164</v>
      </c>
      <c r="N921" s="136" t="e">
        <f>IF(ISNA(MATCH(C921,#REF!,0)),"",INDEX(#REF!,MATCH(C921,#REF!,0)))</f>
        <v>#REF!</v>
      </c>
      <c r="O921" s="137" t="e">
        <f>SUMIF(#REF!,C921,#REF!)</f>
        <v>#REF!</v>
      </c>
      <c r="P921" s="130" t="s">
        <v>47</v>
      </c>
    </row>
    <row r="922" spans="1:16" ht="13.5" x14ac:dyDescent="0.3">
      <c r="B922" s="148"/>
      <c r="C922" s="262"/>
      <c r="D922" s="161" t="s">
        <v>1707</v>
      </c>
      <c r="E922" s="267"/>
      <c r="F922" s="263"/>
      <c r="G922" s="264"/>
      <c r="H922" s="310"/>
      <c r="I922" s="360"/>
      <c r="J922" s="360"/>
      <c r="K922" s="265"/>
      <c r="L922" s="265" t="e">
        <f>K922-O922</f>
        <v>#REF!</v>
      </c>
      <c r="M922" s="450"/>
      <c r="N922" s="157" t="e">
        <f>IF(ISNA(MATCH(C922,#REF!,0)),"",INDEX(#REF!,MATCH(C922,#REF!,0)))</f>
        <v>#REF!</v>
      </c>
      <c r="O922" s="158" t="e">
        <f>SUMIF(#REF!,C922,#REF!)</f>
        <v>#REF!</v>
      </c>
      <c r="P922" s="158" t="s">
        <v>47</v>
      </c>
    </row>
    <row r="923" spans="1:16" ht="26" x14ac:dyDescent="0.3">
      <c r="B923" s="591"/>
      <c r="C923" s="596" t="s">
        <v>675</v>
      </c>
      <c r="D923" s="163" t="s">
        <v>808</v>
      </c>
      <c r="E923" s="275" t="s">
        <v>970</v>
      </c>
      <c r="F923" s="597">
        <v>2</v>
      </c>
      <c r="G923" s="207" t="str">
        <f>IF(ISERR(L923/F923),"",K923/F923)</f>
        <v/>
      </c>
      <c r="H923" s="312">
        <f>1.099679*1634</f>
        <v>1796.8754860000001</v>
      </c>
      <c r="I923" s="363">
        <f>H923/1.0997</f>
        <v>1633.9687969446215</v>
      </c>
      <c r="J923" s="363">
        <f>I923/F923</f>
        <v>816.98439847231077</v>
      </c>
      <c r="K923" s="324">
        <f>H923*$C$6</f>
        <v>6037.5016329600003</v>
      </c>
      <c r="L923" s="321" t="e">
        <f>IF(N923="Заказчика",N923,INDEX(#REF!,MATCH(C923,#REF!,0)))</f>
        <v>#REF!</v>
      </c>
      <c r="M923" s="450"/>
      <c r="N923" s="145" t="e">
        <f>IF(ISNA(MATCH(C923,#REF!,0)),"",INDEX(#REF!,MATCH(C923,#REF!,0)))</f>
        <v>#REF!</v>
      </c>
      <c r="O923" s="146" t="e">
        <f>SUMIF(#REF!,C923,#REF!)</f>
        <v>#REF!</v>
      </c>
      <c r="P923" s="146" t="s">
        <v>47</v>
      </c>
    </row>
    <row r="924" spans="1:16" ht="39" x14ac:dyDescent="0.3">
      <c r="B924" s="591"/>
      <c r="C924" s="596" t="s">
        <v>676</v>
      </c>
      <c r="D924" s="163" t="s">
        <v>858</v>
      </c>
      <c r="E924" s="275" t="s">
        <v>970</v>
      </c>
      <c r="F924" s="597">
        <v>2</v>
      </c>
      <c r="G924" s="207" t="str">
        <f>IF(ISERR(L924/F924),"",K924/F924)</f>
        <v/>
      </c>
      <c r="H924" s="246">
        <f>694*1.099679</f>
        <v>763.17722600000002</v>
      </c>
      <c r="I924" s="355">
        <f>H924/1.0997</f>
        <v>693.98674729471679</v>
      </c>
      <c r="J924" s="355">
        <f>I924/F924</f>
        <v>346.9933736473584</v>
      </c>
      <c r="K924" s="324">
        <f>H924*$C$6</f>
        <v>2564.2754793600002</v>
      </c>
      <c r="L924" s="321" t="e">
        <f>IF(N924="Заказчика",N924,INDEX(#REF!,MATCH(C924,#REF!,0)))</f>
        <v>#REF!</v>
      </c>
      <c r="M924" s="450"/>
      <c r="N924" s="145" t="e">
        <f>IF(ISNA(MATCH(C924,#REF!,0)),"",INDEX(#REF!,MATCH(C924,#REF!,0)))</f>
        <v>#REF!</v>
      </c>
      <c r="O924" s="146" t="e">
        <f>SUMIF(#REF!,C924,#REF!)</f>
        <v>#REF!</v>
      </c>
      <c r="P924" s="146" t="s">
        <v>47</v>
      </c>
    </row>
    <row r="925" spans="1:16" ht="26" x14ac:dyDescent="0.3">
      <c r="B925" s="591"/>
      <c r="C925" s="596" t="s">
        <v>677</v>
      </c>
      <c r="D925" s="163" t="s">
        <v>809</v>
      </c>
      <c r="E925" s="275" t="s">
        <v>970</v>
      </c>
      <c r="F925" s="464">
        <v>2</v>
      </c>
      <c r="G925" s="207" t="str">
        <f>IF(ISERR(L925/F925),"",K925/F925)</f>
        <v/>
      </c>
      <c r="H925" s="246">
        <f>3913*1.099679-1</f>
        <v>4302.0439270000006</v>
      </c>
      <c r="I925" s="355">
        <f>H925/1.0997</f>
        <v>3912.015937983087</v>
      </c>
      <c r="J925" s="355">
        <f>I925/F925</f>
        <v>1956.0079689915435</v>
      </c>
      <c r="K925" s="324">
        <f>H925*$C$6</f>
        <v>14454.867594720001</v>
      </c>
      <c r="L925" s="321" t="e">
        <f>IF(N925="Заказчика",N925,INDEX(#REF!,MATCH(C925,#REF!,0)))</f>
        <v>#REF!</v>
      </c>
      <c r="M925" s="450"/>
      <c r="N925" s="145" t="e">
        <f>IF(ISNA(MATCH(C925,#REF!,0)),"",INDEX(#REF!,MATCH(C925,#REF!,0)))</f>
        <v>#REF!</v>
      </c>
      <c r="O925" s="146" t="e">
        <f>SUMIF(#REF!,C925,#REF!)</f>
        <v>#REF!</v>
      </c>
      <c r="P925" s="146" t="s">
        <v>47</v>
      </c>
    </row>
    <row r="926" spans="1:16" x14ac:dyDescent="0.3">
      <c r="A926" s="50"/>
      <c r="B926" s="134"/>
      <c r="C926" s="216" t="s">
        <v>810</v>
      </c>
      <c r="D926" s="232" t="s">
        <v>721</v>
      </c>
      <c r="E926" s="233"/>
      <c r="F926" s="462"/>
      <c r="G926" s="235"/>
      <c r="H926" s="301">
        <f>SUM(H927:H930)</f>
        <v>577</v>
      </c>
      <c r="I926" s="343"/>
      <c r="J926" s="343"/>
      <c r="K926" s="236">
        <f>SUM(K927:K930)</f>
        <v>4275.57</v>
      </c>
      <c r="L926" s="236" t="e">
        <f>SUM(L927:L930)</f>
        <v>#REF!</v>
      </c>
      <c r="M926" s="450"/>
      <c r="N926" s="126" t="e">
        <f>IF(ISNA(MATCH(C926,#REF!,0)),"",INDEX(#REF!,MATCH(C926,#REF!,0)))</f>
        <v>#REF!</v>
      </c>
      <c r="O926" s="127" t="e">
        <f>SUMIF(#REF!,C926,#REF!)</f>
        <v>#REF!</v>
      </c>
      <c r="P926" s="127" t="s">
        <v>47</v>
      </c>
    </row>
    <row r="927" spans="1:16" x14ac:dyDescent="0.3">
      <c r="B927" s="134"/>
      <c r="C927" s="201" t="s">
        <v>391</v>
      </c>
      <c r="D927" s="182" t="s">
        <v>811</v>
      </c>
      <c r="E927" s="259" t="s">
        <v>970</v>
      </c>
      <c r="F927" s="316">
        <v>2</v>
      </c>
      <c r="G927" s="207">
        <f>K927/F927</f>
        <v>351.97499999999997</v>
      </c>
      <c r="H927" s="243">
        <v>95</v>
      </c>
      <c r="I927" s="354"/>
      <c r="J927" s="354"/>
      <c r="K927" s="186">
        <f>H927*$C$4*$C$5</f>
        <v>703.94999999999993</v>
      </c>
      <c r="L927" s="321" t="e">
        <f>IF(N927="поставка Заказчика",N927,K927)</f>
        <v>#REF!</v>
      </c>
      <c r="M927" s="450"/>
      <c r="N927" s="131" t="e">
        <f>IF(ISNA(MATCH(C927,#REF!,0)),"",INDEX(#REF!,MATCH(C927,#REF!,0)))</f>
        <v>#REF!</v>
      </c>
      <c r="O927" s="114" t="e">
        <f>SUMIF(#REF!,C927,#REF!)</f>
        <v>#REF!</v>
      </c>
      <c r="P927" s="114" t="s">
        <v>47</v>
      </c>
    </row>
    <row r="928" spans="1:16" x14ac:dyDescent="0.3">
      <c r="B928" s="134"/>
      <c r="C928" s="201" t="s">
        <v>392</v>
      </c>
      <c r="D928" s="182" t="s">
        <v>814</v>
      </c>
      <c r="E928" s="259" t="s">
        <v>157</v>
      </c>
      <c r="F928" s="316">
        <v>0.02</v>
      </c>
      <c r="G928" s="207">
        <f>K928/F928</f>
        <v>32974.5</v>
      </c>
      <c r="H928" s="187">
        <v>89</v>
      </c>
      <c r="I928" s="244"/>
      <c r="J928" s="244"/>
      <c r="K928" s="186">
        <f>H928*$C$4*$C$5</f>
        <v>659.49</v>
      </c>
      <c r="L928" s="321" t="e">
        <f>IF(N928="поставка Заказчика",N928,K928)</f>
        <v>#REF!</v>
      </c>
      <c r="M928" s="450"/>
      <c r="N928" s="131" t="e">
        <f>IF(ISNA(MATCH(C928,#REF!,0)),"",INDEX(#REF!,MATCH(C928,#REF!,0)))</f>
        <v>#REF!</v>
      </c>
      <c r="O928" s="114" t="e">
        <f>SUMIF(#REF!,C928,#REF!)</f>
        <v>#REF!</v>
      </c>
      <c r="P928" s="114" t="s">
        <v>47</v>
      </c>
    </row>
    <row r="929" spans="1:16" x14ac:dyDescent="0.3">
      <c r="B929" s="134"/>
      <c r="C929" s="201" t="s">
        <v>393</v>
      </c>
      <c r="D929" s="182" t="s">
        <v>813</v>
      </c>
      <c r="E929" s="259" t="s">
        <v>970</v>
      </c>
      <c r="F929" s="316">
        <v>2</v>
      </c>
      <c r="G929" s="207">
        <f>K929/F929</f>
        <v>992.93999999999994</v>
      </c>
      <c r="H929" s="187">
        <v>268</v>
      </c>
      <c r="I929" s="244"/>
      <c r="J929" s="244"/>
      <c r="K929" s="186">
        <f>H929*$C$4*$C$5</f>
        <v>1985.8799999999999</v>
      </c>
      <c r="L929" s="321" t="e">
        <f>IF(N929="поставка Заказчика",N929,K929)</f>
        <v>#REF!</v>
      </c>
      <c r="M929" s="450"/>
      <c r="N929" s="131" t="e">
        <f>IF(ISNA(MATCH(C929,#REF!,0)),"",INDEX(#REF!,MATCH(C929,#REF!,0)))</f>
        <v>#REF!</v>
      </c>
      <c r="O929" s="114" t="e">
        <f>SUMIF(#REF!,C929,#REF!)</f>
        <v>#REF!</v>
      </c>
      <c r="P929" s="114" t="s">
        <v>47</v>
      </c>
    </row>
    <row r="930" spans="1:16" ht="26" x14ac:dyDescent="0.3">
      <c r="B930" s="134"/>
      <c r="C930" s="201" t="s">
        <v>394</v>
      </c>
      <c r="D930" s="182" t="s">
        <v>812</v>
      </c>
      <c r="E930" s="259" t="s">
        <v>970</v>
      </c>
      <c r="F930" s="316">
        <v>2</v>
      </c>
      <c r="G930" s="207">
        <f>K930/F930</f>
        <v>463.125</v>
      </c>
      <c r="H930" s="187">
        <f>126-1</f>
        <v>125</v>
      </c>
      <c r="I930" s="244"/>
      <c r="J930" s="244"/>
      <c r="K930" s="186">
        <f>H930*$C$4*$C$5</f>
        <v>926.25</v>
      </c>
      <c r="L930" s="321" t="e">
        <f>IF(N930="поставка Заказчика",N930,K930)</f>
        <v>#REF!</v>
      </c>
      <c r="M930" s="450"/>
      <c r="N930" s="131" t="e">
        <f>IF(ISNA(MATCH(C930,#REF!,0)),"",INDEX(#REF!,MATCH(C930,#REF!,0)))</f>
        <v>#REF!</v>
      </c>
      <c r="O930" s="114" t="e">
        <f>SUMIF(#REF!,C930,#REF!)</f>
        <v>#REF!</v>
      </c>
      <c r="P930" s="114" t="s">
        <v>47</v>
      </c>
    </row>
    <row r="931" spans="1:16" x14ac:dyDescent="0.3">
      <c r="B931" s="128" t="s">
        <v>815</v>
      </c>
      <c r="C931" s="213" t="s">
        <v>395</v>
      </c>
      <c r="D931" s="60" t="s">
        <v>816</v>
      </c>
      <c r="E931" s="214"/>
      <c r="F931" s="463"/>
      <c r="G931" s="211"/>
      <c r="H931" s="304">
        <f>H936</f>
        <v>7490</v>
      </c>
      <c r="I931" s="347"/>
      <c r="J931" s="347"/>
      <c r="K931" s="205">
        <f>K936</f>
        <v>55500.9</v>
      </c>
      <c r="L931" s="205" t="e">
        <f>L936</f>
        <v>#REF!</v>
      </c>
      <c r="M931" s="450" t="s">
        <v>1164</v>
      </c>
      <c r="N931" s="136" t="e">
        <f>IF(ISNA(MATCH(C931,#REF!,0)),"",INDEX(#REF!,MATCH(C931,#REF!,0)))</f>
        <v>#REF!</v>
      </c>
      <c r="O931" s="137" t="e">
        <f>SUMIF(#REF!,C931,#REF!)</f>
        <v>#REF!</v>
      </c>
      <c r="P931" s="130" t="s">
        <v>48</v>
      </c>
    </row>
    <row r="932" spans="1:16" ht="13.5" x14ac:dyDescent="0.3">
      <c r="B932" s="148"/>
      <c r="C932" s="262"/>
      <c r="D932" s="161" t="s">
        <v>1707</v>
      </c>
      <c r="E932" s="267"/>
      <c r="F932" s="220"/>
      <c r="G932" s="264"/>
      <c r="H932" s="310"/>
      <c r="I932" s="360"/>
      <c r="J932" s="360"/>
      <c r="K932" s="265"/>
      <c r="L932" s="265" t="e">
        <f>K932-O932</f>
        <v>#REF!</v>
      </c>
      <c r="M932" s="450"/>
      <c r="N932" s="157" t="e">
        <f>IF(ISNA(MATCH(C932,#REF!,0)),"",INDEX(#REF!,MATCH(C932,#REF!,0)))</f>
        <v>#REF!</v>
      </c>
      <c r="O932" s="158" t="e">
        <f>SUMIF(#REF!,C932,#REF!)</f>
        <v>#REF!</v>
      </c>
      <c r="P932" s="158"/>
    </row>
    <row r="933" spans="1:16" x14ac:dyDescent="0.3">
      <c r="B933" s="591"/>
      <c r="C933" s="596" t="s">
        <v>678</v>
      </c>
      <c r="D933" s="163" t="s">
        <v>817</v>
      </c>
      <c r="E933" s="275" t="s">
        <v>970</v>
      </c>
      <c r="F933" s="464">
        <v>1</v>
      </c>
      <c r="G933" s="207" t="str">
        <f>IF(ISERR(L933/F933),"",K933/F933)</f>
        <v/>
      </c>
      <c r="H933" s="312">
        <f>3160*1.099683</f>
        <v>3474.9982799999998</v>
      </c>
      <c r="I933" s="363">
        <f>H933/1.0997</f>
        <v>3159.9511503137219</v>
      </c>
      <c r="J933" s="363">
        <f>I933/F933</f>
        <v>3159.9511503137219</v>
      </c>
      <c r="K933" s="324">
        <f>H933*$C$6</f>
        <v>11675.994220799999</v>
      </c>
      <c r="L933" s="321" t="e">
        <f>IF(N933="Заказчика",N933,INDEX(#REF!,MATCH(C933,#REF!,0)))</f>
        <v>#REF!</v>
      </c>
      <c r="M933" s="450"/>
      <c r="N933" s="145" t="e">
        <f>IF(ISNA(MATCH(C933,#REF!,0)),"",INDEX(#REF!,MATCH(C933,#REF!,0)))</f>
        <v>#REF!</v>
      </c>
      <c r="O933" s="146" t="e">
        <f>SUMIF(#REF!,C933,#REF!)</f>
        <v>#REF!</v>
      </c>
      <c r="P933" s="146"/>
    </row>
    <row r="934" spans="1:16" x14ac:dyDescent="0.3">
      <c r="B934" s="591"/>
      <c r="C934" s="596" t="s">
        <v>679</v>
      </c>
      <c r="D934" s="163" t="s">
        <v>818</v>
      </c>
      <c r="E934" s="275" t="s">
        <v>970</v>
      </c>
      <c r="F934" s="464">
        <v>1</v>
      </c>
      <c r="G934" s="207" t="str">
        <f>IF(ISERR(L934/F934),"",K934/F934)</f>
        <v/>
      </c>
      <c r="H934" s="312">
        <f>3666*1.099683</f>
        <v>4031.4378779999997</v>
      </c>
      <c r="I934" s="363">
        <f>H934/1.0997</f>
        <v>3665.9433281804131</v>
      </c>
      <c r="J934" s="363">
        <f>I934/F934</f>
        <v>3665.9433281804131</v>
      </c>
      <c r="K934" s="324">
        <f>H934*$C$6</f>
        <v>13545.631270079999</v>
      </c>
      <c r="L934" s="321" t="e">
        <f>IF(N934="Заказчика",N934,INDEX(#REF!,MATCH(C934,#REF!,0)))</f>
        <v>#REF!</v>
      </c>
      <c r="M934" s="450"/>
      <c r="N934" s="145" t="e">
        <f>IF(ISNA(MATCH(C934,#REF!,0)),"",INDEX(#REF!,MATCH(C934,#REF!,0)))</f>
        <v>#REF!</v>
      </c>
      <c r="O934" s="146" t="e">
        <f>SUMIF(#REF!,C934,#REF!)</f>
        <v>#REF!</v>
      </c>
      <c r="P934" s="146"/>
    </row>
    <row r="935" spans="1:16" x14ac:dyDescent="0.3">
      <c r="B935" s="591"/>
      <c r="C935" s="596" t="s">
        <v>680</v>
      </c>
      <c r="D935" s="59" t="s">
        <v>819</v>
      </c>
      <c r="E935" s="275" t="s">
        <v>970</v>
      </c>
      <c r="F935" s="464">
        <v>1</v>
      </c>
      <c r="G935" s="207" t="str">
        <f>IF(ISERR(L935/F935),"",K935/F935)</f>
        <v/>
      </c>
      <c r="H935" s="312">
        <f>2323*1.099683</f>
        <v>2554.5636089999998</v>
      </c>
      <c r="I935" s="363">
        <f>H935/1.0997</f>
        <v>2322.964089297081</v>
      </c>
      <c r="J935" s="363">
        <f>I935/F935</f>
        <v>2322.964089297081</v>
      </c>
      <c r="K935" s="324">
        <f>H935*$C$6</f>
        <v>8583.3337262399982</v>
      </c>
      <c r="L935" s="321" t="e">
        <f>IF(N935="Заказчика",N935,INDEX(#REF!,MATCH(C935,#REF!,0)))</f>
        <v>#REF!</v>
      </c>
      <c r="M935" s="450"/>
      <c r="N935" s="145" t="e">
        <f>IF(ISNA(MATCH(C935,#REF!,0)),"",INDEX(#REF!,MATCH(C935,#REF!,0)))</f>
        <v>#REF!</v>
      </c>
      <c r="O935" s="146" t="e">
        <f>SUMIF(#REF!,C935,#REF!)</f>
        <v>#REF!</v>
      </c>
      <c r="P935" s="146"/>
    </row>
    <row r="936" spans="1:16" x14ac:dyDescent="0.3">
      <c r="A936" s="50"/>
      <c r="B936" s="134"/>
      <c r="C936" s="216" t="s">
        <v>396</v>
      </c>
      <c r="D936" s="232" t="s">
        <v>721</v>
      </c>
      <c r="E936" s="233"/>
      <c r="F936" s="234"/>
      <c r="G936" s="235"/>
      <c r="H936" s="301">
        <f>SUM(H937:H942)</f>
        <v>7490</v>
      </c>
      <c r="I936" s="343"/>
      <c r="J936" s="343"/>
      <c r="K936" s="236">
        <f>SUM(K937:K942)</f>
        <v>55500.9</v>
      </c>
      <c r="L936" s="236" t="e">
        <f>SUM(L937:L942)</f>
        <v>#REF!</v>
      </c>
      <c r="M936" s="450"/>
      <c r="N936" s="126" t="e">
        <f>IF(ISNA(MATCH(C936,#REF!,0)),"",INDEX(#REF!,MATCH(C936,#REF!,0)))</f>
        <v>#REF!</v>
      </c>
      <c r="O936" s="127" t="e">
        <f>SUMIF(#REF!,C936,#REF!)</f>
        <v>#REF!</v>
      </c>
      <c r="P936" s="127"/>
    </row>
    <row r="937" spans="1:16" x14ac:dyDescent="0.3">
      <c r="B937" s="134"/>
      <c r="C937" s="201" t="s">
        <v>397</v>
      </c>
      <c r="D937" s="182" t="s">
        <v>820</v>
      </c>
      <c r="E937" s="259" t="s">
        <v>970</v>
      </c>
      <c r="F937" s="316">
        <v>1</v>
      </c>
      <c r="G937" s="207">
        <f t="shared" ref="G937:G942" si="171">K937/F937</f>
        <v>229.70999999999998</v>
      </c>
      <c r="H937" s="243">
        <v>31</v>
      </c>
      <c r="I937" s="354"/>
      <c r="J937" s="354"/>
      <c r="K937" s="186">
        <f t="shared" ref="K937:K942" si="172">H937*$C$4*$C$5</f>
        <v>229.70999999999998</v>
      </c>
      <c r="L937" s="321" t="e">
        <f t="shared" ref="L937:L942" si="173">IF(N937="поставка Заказчика",N937,K937)</f>
        <v>#REF!</v>
      </c>
      <c r="M937" s="450"/>
      <c r="N937" s="131" t="e">
        <f>IF(ISNA(MATCH(C937,#REF!,0)),"",INDEX(#REF!,MATCH(C937,#REF!,0)))</f>
        <v>#REF!</v>
      </c>
      <c r="O937" s="114" t="e">
        <f>SUMIF(#REF!,C937,#REF!)</f>
        <v>#REF!</v>
      </c>
      <c r="P937" s="114"/>
    </row>
    <row r="938" spans="1:16" ht="26" x14ac:dyDescent="0.3">
      <c r="B938" s="134"/>
      <c r="C938" s="201" t="s">
        <v>398</v>
      </c>
      <c r="D938" s="182" t="s">
        <v>821</v>
      </c>
      <c r="E938" s="259" t="s">
        <v>970</v>
      </c>
      <c r="F938" s="316">
        <v>2</v>
      </c>
      <c r="G938" s="207">
        <f t="shared" si="171"/>
        <v>114.85499999999999</v>
      </c>
      <c r="H938" s="187">
        <v>31</v>
      </c>
      <c r="I938" s="244"/>
      <c r="J938" s="244"/>
      <c r="K938" s="186">
        <f t="shared" si="172"/>
        <v>229.70999999999998</v>
      </c>
      <c r="L938" s="321" t="e">
        <f t="shared" si="173"/>
        <v>#REF!</v>
      </c>
      <c r="M938" s="450"/>
      <c r="N938" s="131" t="e">
        <f>IF(ISNA(MATCH(C938,#REF!,0)),"",INDEX(#REF!,MATCH(C938,#REF!,0)))</f>
        <v>#REF!</v>
      </c>
      <c r="O938" s="114" t="e">
        <f>SUMIF(#REF!,C938,#REF!)</f>
        <v>#REF!</v>
      </c>
      <c r="P938" s="114"/>
    </row>
    <row r="939" spans="1:16" x14ac:dyDescent="0.3">
      <c r="B939" s="134"/>
      <c r="C939" s="201" t="s">
        <v>399</v>
      </c>
      <c r="D939" s="182" t="s">
        <v>822</v>
      </c>
      <c r="E939" s="259" t="s">
        <v>948</v>
      </c>
      <c r="F939" s="316">
        <v>4.5670000000000002</v>
      </c>
      <c r="G939" s="207">
        <f t="shared" si="171"/>
        <v>7814.0048171666294</v>
      </c>
      <c r="H939" s="187">
        <f>4722+6+87+1</f>
        <v>4816</v>
      </c>
      <c r="I939" s="244"/>
      <c r="J939" s="244"/>
      <c r="K939" s="186">
        <f t="shared" si="172"/>
        <v>35686.559999999998</v>
      </c>
      <c r="L939" s="321" t="e">
        <f t="shared" si="173"/>
        <v>#REF!</v>
      </c>
      <c r="M939" s="450"/>
      <c r="N939" s="131" t="e">
        <f>IF(ISNA(MATCH(C939,#REF!,0)),"",INDEX(#REF!,MATCH(C939,#REF!,0)))</f>
        <v>#REF!</v>
      </c>
      <c r="O939" s="114" t="e">
        <f>SUMIF(#REF!,C939,#REF!)</f>
        <v>#REF!</v>
      </c>
      <c r="P939" s="114"/>
    </row>
    <row r="940" spans="1:16" ht="26" x14ac:dyDescent="0.3">
      <c r="B940" s="141"/>
      <c r="C940" s="201" t="s">
        <v>400</v>
      </c>
      <c r="D940" s="260" t="s">
        <v>794</v>
      </c>
      <c r="E940" s="261" t="s">
        <v>970</v>
      </c>
      <c r="F940" s="316">
        <v>2</v>
      </c>
      <c r="G940" s="207">
        <f t="shared" si="171"/>
        <v>48.164999999999992</v>
      </c>
      <c r="H940" s="187">
        <v>13</v>
      </c>
      <c r="I940" s="244"/>
      <c r="J940" s="244"/>
      <c r="K940" s="186">
        <f t="shared" si="172"/>
        <v>96.329999999999984</v>
      </c>
      <c r="L940" s="321" t="e">
        <f t="shared" si="173"/>
        <v>#REF!</v>
      </c>
      <c r="M940" s="450"/>
      <c r="N940" s="131" t="e">
        <f>IF(ISNA(MATCH(C940,#REF!,0)),"",INDEX(#REF!,MATCH(C940,#REF!,0)))</f>
        <v>#REF!</v>
      </c>
      <c r="O940" s="114" t="e">
        <f>SUMIF(#REF!,C940,#REF!)</f>
        <v>#REF!</v>
      </c>
      <c r="P940" s="114"/>
    </row>
    <row r="941" spans="1:16" x14ac:dyDescent="0.3">
      <c r="B941" s="165"/>
      <c r="C941" s="201" t="s">
        <v>401</v>
      </c>
      <c r="D941" s="166" t="s">
        <v>823</v>
      </c>
      <c r="E941" s="261" t="s">
        <v>970</v>
      </c>
      <c r="F941" s="277">
        <v>2</v>
      </c>
      <c r="G941" s="207">
        <f t="shared" si="171"/>
        <v>111.14999999999999</v>
      </c>
      <c r="H941" s="187">
        <v>30</v>
      </c>
      <c r="I941" s="187"/>
      <c r="J941" s="187"/>
      <c r="K941" s="186">
        <f t="shared" si="172"/>
        <v>222.29999999999998</v>
      </c>
      <c r="L941" s="321" t="e">
        <f t="shared" si="173"/>
        <v>#REF!</v>
      </c>
      <c r="M941" s="450"/>
      <c r="N941" s="131" t="e">
        <f>IF(ISNA(MATCH(C941,#REF!,0)),"",INDEX(#REF!,MATCH(C941,#REF!,0)))</f>
        <v>#REF!</v>
      </c>
      <c r="O941" s="114" t="e">
        <f>SUMIF(#REF!,C941,#REF!)</f>
        <v>#REF!</v>
      </c>
      <c r="P941" s="114"/>
    </row>
    <row r="942" spans="1:16" x14ac:dyDescent="0.3">
      <c r="B942" s="165"/>
      <c r="C942" s="201" t="s">
        <v>402</v>
      </c>
      <c r="D942" s="166" t="s">
        <v>824</v>
      </c>
      <c r="E942" s="259" t="s">
        <v>971</v>
      </c>
      <c r="F942" s="277">
        <v>466</v>
      </c>
      <c r="G942" s="207">
        <f t="shared" si="171"/>
        <v>40.850407725321894</v>
      </c>
      <c r="H942" s="187">
        <v>2569</v>
      </c>
      <c r="I942" s="187"/>
      <c r="J942" s="187"/>
      <c r="K942" s="186">
        <f t="shared" si="172"/>
        <v>19036.29</v>
      </c>
      <c r="L942" s="321" t="e">
        <f t="shared" si="173"/>
        <v>#REF!</v>
      </c>
      <c r="M942" s="450"/>
      <c r="N942" s="131" t="e">
        <f>IF(ISNA(MATCH(C942,#REF!,0)),"",INDEX(#REF!,MATCH(C942,#REF!,0)))</f>
        <v>#REF!</v>
      </c>
      <c r="O942" s="114" t="e">
        <f>SUMIF(#REF!,C942,#REF!)</f>
        <v>#REF!</v>
      </c>
      <c r="P942" s="114"/>
    </row>
    <row r="943" spans="1:16" ht="13.5" thickBot="1" x14ac:dyDescent="0.35">
      <c r="B943" s="528" t="s">
        <v>1751</v>
      </c>
      <c r="C943" s="529" t="s">
        <v>830</v>
      </c>
      <c r="D943" s="530" t="s">
        <v>831</v>
      </c>
      <c r="E943" s="531"/>
      <c r="F943" s="532"/>
      <c r="G943" s="533"/>
      <c r="H943" s="534">
        <v>392560</v>
      </c>
      <c r="I943" s="535"/>
      <c r="J943" s="535"/>
      <c r="K943" s="536">
        <f>H943*СМР</f>
        <v>2551640</v>
      </c>
      <c r="L943" s="536">
        <f>H943*СМР</f>
        <v>2551640</v>
      </c>
      <c r="M943" s="450" t="s">
        <v>1164</v>
      </c>
      <c r="N943" s="538" t="e">
        <f>IF(ISNA(MATCH(C943,#REF!,0)),"",INDEX(#REF!,MATCH(C943,#REF!,0)))</f>
        <v>#REF!</v>
      </c>
      <c r="O943" s="539" t="e">
        <f>SUMIF(#REF!,C943,#REF!)</f>
        <v>#REF!</v>
      </c>
      <c r="P943" s="540"/>
    </row>
    <row r="944" spans="1:16" ht="15" x14ac:dyDescent="0.3">
      <c r="B944" s="525"/>
      <c r="C944" s="526"/>
      <c r="D944" s="526" t="s">
        <v>941</v>
      </c>
      <c r="E944" s="526"/>
      <c r="F944" s="526"/>
      <c r="G944" s="527"/>
      <c r="H944" s="325">
        <f>H17+H53+H54+H69+H70+H83+H84+H143+H151+H159+H174+H181+H203+H220+H229+H241+H257+H311+H373+H406+H457+H473+H500+H533+H563+H576+H584+H606+H615+H618+H642+H697+H704+H718+H921+H931+H943</f>
        <v>6999490.95951417</v>
      </c>
      <c r="I944" s="364">
        <f>I17+I53+I54+I69+I70+I83+I84+I143+I151+I159+I174+I181+I203+I220+I229+I241+I257+I311+I373+I406+I457+I473+I500+I533+I563+I576+I584+I606+I615+I618+I642+I697+I704+I718+I921+I931</f>
        <v>0</v>
      </c>
      <c r="J944" s="364"/>
      <c r="K944" s="326">
        <f>SUMIF($M$16:$M$943,"+",K16:K943)</f>
        <v>51508998.409999989</v>
      </c>
      <c r="L944" s="326" t="e">
        <f>SUMIF($M$16:$M$943,"+",L16:L943)</f>
        <v>#REF!</v>
      </c>
      <c r="M944" s="450"/>
      <c r="N944" s="537"/>
      <c r="O944" s="537"/>
      <c r="P944" s="537"/>
    </row>
    <row r="945" spans="2:16" ht="15.5" x14ac:dyDescent="0.3">
      <c r="B945" s="474"/>
      <c r="C945" s="475"/>
      <c r="D945" s="476" t="s">
        <v>846</v>
      </c>
      <c r="E945" s="475"/>
      <c r="F945" s="477"/>
      <c r="G945" s="478"/>
      <c r="H945" s="305"/>
      <c r="I945" s="348"/>
      <c r="J945" s="348"/>
      <c r="K945" s="278"/>
      <c r="L945" s="278"/>
      <c r="M945" s="450"/>
      <c r="N945" s="279"/>
      <c r="O945" s="279"/>
      <c r="P945" s="279"/>
    </row>
    <row r="946" spans="2:16" ht="15.5" x14ac:dyDescent="0.3">
      <c r="B946" s="474"/>
      <c r="C946" s="475"/>
      <c r="D946" s="479" t="s">
        <v>176</v>
      </c>
      <c r="E946" s="475"/>
      <c r="F946" s="477"/>
      <c r="G946" s="478"/>
      <c r="H946" s="305"/>
      <c r="I946" s="348"/>
      <c r="J946" s="348"/>
      <c r="K946" s="280" t="e">
        <f>K944-K947</f>
        <v>#REF!</v>
      </c>
      <c r="L946" s="280" t="e">
        <f>L944-L947</f>
        <v>#REF!</v>
      </c>
      <c r="M946" s="450"/>
      <c r="N946" s="279"/>
      <c r="O946" s="279"/>
      <c r="P946" s="279"/>
    </row>
    <row r="947" spans="2:16" ht="15.5" x14ac:dyDescent="0.3">
      <c r="B947" s="474"/>
      <c r="C947" s="475"/>
      <c r="D947" s="479" t="s">
        <v>845</v>
      </c>
      <c r="E947" s="475"/>
      <c r="F947" s="477"/>
      <c r="G947" s="478"/>
      <c r="H947" s="305"/>
      <c r="I947" s="348"/>
      <c r="J947" s="348"/>
      <c r="K947" s="280" t="e">
        <f>#REF!</f>
        <v>#REF!</v>
      </c>
      <c r="L947" s="280" t="e">
        <f>#REF!</f>
        <v>#REF!</v>
      </c>
      <c r="M947" s="450"/>
      <c r="N947" s="279"/>
      <c r="O947" s="279"/>
      <c r="P947" s="279"/>
    </row>
    <row r="948" spans="2:16" ht="15.5" x14ac:dyDescent="0.3">
      <c r="B948" s="474"/>
      <c r="C948" s="475"/>
      <c r="D948" s="480" t="s">
        <v>936</v>
      </c>
      <c r="E948" s="475"/>
      <c r="F948" s="477"/>
      <c r="G948" s="478"/>
      <c r="H948" s="305"/>
      <c r="I948" s="348"/>
      <c r="J948" s="348"/>
      <c r="K948" s="280" t="e">
        <f>#REF!</f>
        <v>#REF!</v>
      </c>
      <c r="L948" s="280" t="e">
        <f>#REF!</f>
        <v>#REF!</v>
      </c>
      <c r="M948" s="450"/>
      <c r="N948" s="279"/>
      <c r="O948" s="279"/>
      <c r="P948" s="279"/>
    </row>
    <row r="949" spans="2:16" ht="15.5" x14ac:dyDescent="0.3">
      <c r="B949" s="474"/>
      <c r="C949" s="475"/>
      <c r="D949" s="480" t="s">
        <v>937</v>
      </c>
      <c r="E949" s="475"/>
      <c r="F949" s="477"/>
      <c r="G949" s="478"/>
      <c r="H949" s="305"/>
      <c r="I949" s="348"/>
      <c r="J949" s="348"/>
      <c r="K949" s="280" t="e">
        <f>#REF!</f>
        <v>#REF!</v>
      </c>
      <c r="L949" s="280" t="e">
        <f>#REF!</f>
        <v>#REF!</v>
      </c>
      <c r="M949" s="450"/>
      <c r="N949" s="279"/>
      <c r="O949" s="279"/>
      <c r="P949" s="279"/>
    </row>
    <row r="950" spans="2:16" ht="15.5" x14ac:dyDescent="0.3">
      <c r="B950" s="474"/>
      <c r="C950" s="475"/>
      <c r="D950" s="481" t="s">
        <v>942</v>
      </c>
      <c r="E950" s="475"/>
      <c r="F950" s="477"/>
      <c r="G950" s="478"/>
      <c r="H950" s="305"/>
      <c r="I950" s="348"/>
      <c r="J950" s="348"/>
      <c r="K950" s="281"/>
      <c r="L950" s="281"/>
      <c r="M950" s="450"/>
      <c r="N950" s="279"/>
      <c r="O950" s="279"/>
      <c r="P950" s="279"/>
    </row>
    <row r="951" spans="2:16" ht="15.5" outlineLevel="1" x14ac:dyDescent="0.3">
      <c r="B951" s="482"/>
      <c r="C951" s="483"/>
      <c r="D951" s="484" t="s">
        <v>965</v>
      </c>
      <c r="E951" s="483"/>
      <c r="F951" s="485"/>
      <c r="G951" s="486"/>
      <c r="H951" s="313"/>
      <c r="I951" s="365"/>
      <c r="J951" s="365"/>
      <c r="K951" s="167" t="e">
        <f>#REF!</f>
        <v>#REF!</v>
      </c>
      <c r="L951" s="167" t="e">
        <f>#REF!</f>
        <v>#REF!</v>
      </c>
      <c r="M951" s="450"/>
      <c r="N951" s="282"/>
      <c r="O951" s="282"/>
      <c r="P951" s="282"/>
    </row>
    <row r="952" spans="2:16" ht="15.5" outlineLevel="1" x14ac:dyDescent="0.3">
      <c r="B952" s="482"/>
      <c r="C952" s="483"/>
      <c r="D952" s="487" t="s">
        <v>938</v>
      </c>
      <c r="E952" s="483"/>
      <c r="F952" s="485"/>
      <c r="G952" s="486"/>
      <c r="H952" s="313"/>
      <c r="I952" s="365"/>
      <c r="J952" s="365"/>
      <c r="K952" s="283" t="e">
        <f>#REF!</f>
        <v>#REF!</v>
      </c>
      <c r="L952" s="283" t="e">
        <f>#REF!</f>
        <v>#REF!</v>
      </c>
      <c r="M952" s="450"/>
      <c r="N952" s="284"/>
      <c r="O952" s="284"/>
      <c r="P952" s="284"/>
    </row>
    <row r="953" spans="2:16" ht="15.5" x14ac:dyDescent="0.3">
      <c r="B953" s="482"/>
      <c r="C953" s="483"/>
      <c r="D953" s="487" t="s">
        <v>939</v>
      </c>
      <c r="E953" s="483"/>
      <c r="F953" s="485"/>
      <c r="G953" s="486"/>
      <c r="H953" s="313"/>
      <c r="I953" s="365"/>
      <c r="J953" s="365"/>
      <c r="K953" s="283" t="e">
        <f>#REF!</f>
        <v>#REF!</v>
      </c>
      <c r="L953" s="283" t="e">
        <f>#REF!</f>
        <v>#REF!</v>
      </c>
      <c r="M953" s="450"/>
      <c r="N953" s="284"/>
      <c r="O953" s="284"/>
      <c r="P953" s="284"/>
    </row>
    <row r="954" spans="2:16" ht="4.5" customHeight="1" thickBot="1" x14ac:dyDescent="0.35">
      <c r="B954" s="488"/>
      <c r="C954" s="489"/>
      <c r="D954" s="489"/>
      <c r="E954" s="489"/>
      <c r="F954" s="490"/>
      <c r="G954" s="491"/>
      <c r="H954" s="327"/>
      <c r="I954" s="366"/>
      <c r="J954" s="366"/>
      <c r="K954" s="328"/>
      <c r="L954" s="328"/>
      <c r="M954" s="450"/>
      <c r="N954" s="398"/>
      <c r="O954" s="398"/>
      <c r="P954" s="398"/>
    </row>
    <row r="955" spans="2:16" ht="15.5" thickBot="1" x14ac:dyDescent="0.35">
      <c r="B955" s="511"/>
      <c r="C955" s="512"/>
      <c r="D955" s="473" t="s">
        <v>781</v>
      </c>
      <c r="E955" s="512"/>
      <c r="F955" s="513"/>
      <c r="G955" s="514"/>
      <c r="H955" s="515"/>
      <c r="I955" s="516"/>
      <c r="J955" s="516"/>
      <c r="K955" s="548" t="e">
        <f>SUM(K944,K953)</f>
        <v>#REF!</v>
      </c>
      <c r="L955" s="541" t="e">
        <f>SUM(L944,L953)</f>
        <v>#REF!</v>
      </c>
      <c r="M955" s="450"/>
      <c r="N955" s="399"/>
      <c r="O955" s="399"/>
      <c r="P955" s="399"/>
    </row>
    <row r="956" spans="2:16" ht="15.5" thickBot="1" x14ac:dyDescent="0.35">
      <c r="B956" s="517"/>
      <c r="C956" s="518"/>
      <c r="D956" s="519" t="s">
        <v>802</v>
      </c>
      <c r="E956" s="520">
        <v>1.4999999999999999E-2</v>
      </c>
      <c r="F956" s="521"/>
      <c r="G956" s="522"/>
      <c r="H956" s="523"/>
      <c r="I956" s="524"/>
      <c r="J956" s="524"/>
      <c r="K956" s="549"/>
      <c r="L956" s="542" t="e">
        <f>L955*E956</f>
        <v>#REF!</v>
      </c>
      <c r="M956" s="450"/>
      <c r="N956" s="510"/>
      <c r="O956" s="510"/>
      <c r="P956" s="510"/>
    </row>
    <row r="957" spans="2:16" ht="15.5" thickBot="1" x14ac:dyDescent="0.35">
      <c r="B957" s="492"/>
      <c r="C957" s="493"/>
      <c r="D957" s="494" t="s">
        <v>803</v>
      </c>
      <c r="E957" s="493"/>
      <c r="F957" s="495"/>
      <c r="G957" s="496"/>
      <c r="H957" s="329"/>
      <c r="I957" s="367"/>
      <c r="J957" s="367"/>
      <c r="K957" s="550" t="e">
        <f>SUM(K955:K956)</f>
        <v>#REF!</v>
      </c>
      <c r="L957" s="543" t="e">
        <f>SUM(L955:L956)</f>
        <v>#REF!</v>
      </c>
      <c r="M957" s="450"/>
      <c r="N957" s="399"/>
      <c r="O957" s="399"/>
      <c r="P957" s="399"/>
    </row>
    <row r="958" spans="2:16" x14ac:dyDescent="0.3">
      <c r="B958" s="497"/>
      <c r="C958" s="498"/>
      <c r="D958" s="499" t="s">
        <v>177</v>
      </c>
      <c r="E958" s="500"/>
      <c r="F958" s="500"/>
      <c r="G958" s="501"/>
      <c r="H958" s="467"/>
      <c r="I958" s="468"/>
      <c r="J958" s="468"/>
      <c r="K958" s="278"/>
      <c r="L958" s="544"/>
      <c r="M958" s="450"/>
      <c r="N958" s="169"/>
      <c r="O958" s="169"/>
      <c r="P958" s="169"/>
    </row>
    <row r="959" spans="2:16" x14ac:dyDescent="0.3">
      <c r="B959" s="497"/>
      <c r="C959" s="498"/>
      <c r="D959" s="502" t="s">
        <v>779</v>
      </c>
      <c r="E959" s="500"/>
      <c r="F959" s="499"/>
      <c r="G959" s="501"/>
      <c r="H959" s="469"/>
      <c r="I959" s="470"/>
      <c r="J959" s="470"/>
      <c r="K959" s="278"/>
      <c r="L959" s="545">
        <v>11500000</v>
      </c>
      <c r="M959" s="450"/>
      <c r="N959" s="169"/>
      <c r="O959" s="169"/>
      <c r="P959" s="169"/>
    </row>
    <row r="960" spans="2:16" x14ac:dyDescent="0.3">
      <c r="B960" s="497"/>
      <c r="C960" s="498"/>
      <c r="D960" s="508" t="s">
        <v>179</v>
      </c>
      <c r="E960" s="500"/>
      <c r="F960" s="502"/>
      <c r="G960" s="501"/>
      <c r="H960" s="469"/>
      <c r="I960" s="470"/>
      <c r="J960" s="470"/>
      <c r="K960" s="278"/>
      <c r="L960" s="546">
        <v>3800000</v>
      </c>
      <c r="M960" s="450"/>
      <c r="N960" s="169"/>
      <c r="O960" s="169"/>
      <c r="P960" s="169"/>
    </row>
    <row r="961" spans="2:16" x14ac:dyDescent="0.3">
      <c r="B961" s="497"/>
      <c r="C961" s="498"/>
      <c r="D961" s="508" t="s">
        <v>180</v>
      </c>
      <c r="E961" s="500"/>
      <c r="F961" s="502"/>
      <c r="G961" s="501"/>
      <c r="H961" s="469"/>
      <c r="I961" s="470"/>
      <c r="J961" s="470"/>
      <c r="K961" s="278"/>
      <c r="L961" s="546">
        <f>L959-L960</f>
        <v>7700000</v>
      </c>
      <c r="M961" s="450"/>
      <c r="N961" s="169"/>
      <c r="O961" s="169"/>
      <c r="P961" s="169"/>
    </row>
    <row r="962" spans="2:16" x14ac:dyDescent="0.3">
      <c r="B962" s="497"/>
      <c r="C962" s="498"/>
      <c r="D962" s="502" t="s">
        <v>778</v>
      </c>
      <c r="E962" s="500"/>
      <c r="F962" s="499"/>
      <c r="G962" s="501"/>
      <c r="H962" s="469"/>
      <c r="I962" s="470"/>
      <c r="J962" s="470"/>
      <c r="K962" s="278"/>
      <c r="L962" s="545" t="e">
        <f>SUM(L963)</f>
        <v>#REF!</v>
      </c>
      <c r="M962" s="450"/>
      <c r="N962" s="169"/>
      <c r="O962" s="169"/>
      <c r="P962" s="169"/>
    </row>
    <row r="963" spans="2:16" ht="13.5" thickBot="1" x14ac:dyDescent="0.35">
      <c r="B963" s="503"/>
      <c r="C963" s="504"/>
      <c r="D963" s="509" t="s">
        <v>178</v>
      </c>
      <c r="E963" s="505"/>
      <c r="F963" s="506"/>
      <c r="G963" s="507"/>
      <c r="H963" s="471"/>
      <c r="I963" s="472"/>
      <c r="J963" s="472"/>
      <c r="K963" s="551"/>
      <c r="L963" s="547" t="e">
        <f>L957-L959</f>
        <v>#REF!</v>
      </c>
      <c r="M963" s="450"/>
      <c r="N963" s="169"/>
      <c r="O963" s="169"/>
      <c r="P963" s="169"/>
    </row>
    <row r="964" spans="2:16" x14ac:dyDescent="0.3">
      <c r="C964" s="28"/>
      <c r="D964" s="15"/>
      <c r="E964" s="28"/>
      <c r="F964" s="16"/>
      <c r="G964" s="17"/>
      <c r="H964" s="314"/>
      <c r="I964" s="314"/>
      <c r="J964" s="314"/>
      <c r="N964" s="28"/>
      <c r="O964" s="28"/>
      <c r="P964" s="28"/>
    </row>
    <row r="965" spans="2:16" x14ac:dyDescent="0.3">
      <c r="C965" s="28"/>
      <c r="D965" s="15"/>
      <c r="E965" s="28"/>
      <c r="F965" s="16"/>
      <c r="G965" s="17"/>
      <c r="H965" s="314"/>
      <c r="I965" s="314"/>
      <c r="J965" s="314"/>
      <c r="N965" s="28"/>
      <c r="O965" s="28"/>
      <c r="P965" s="28"/>
    </row>
    <row r="967" spans="2:16" x14ac:dyDescent="0.3">
      <c r="D967" s="20"/>
      <c r="E967" s="33"/>
      <c r="F967" s="12"/>
      <c r="N967" s="33"/>
      <c r="O967" s="33"/>
      <c r="P967" s="33"/>
    </row>
    <row r="968" spans="2:16" x14ac:dyDescent="0.3">
      <c r="E968" s="29"/>
      <c r="F968" s="21"/>
      <c r="N968" s="29"/>
      <c r="O968" s="29"/>
      <c r="P968" s="29"/>
    </row>
    <row r="969" spans="2:16" ht="15.5" x14ac:dyDescent="0.35">
      <c r="D969" s="465" t="s">
        <v>782</v>
      </c>
      <c r="E969" s="466"/>
      <c r="F969" s="21"/>
      <c r="N969" s="9"/>
      <c r="O969" s="9"/>
      <c r="P969" s="9"/>
    </row>
    <row r="970" spans="2:16" x14ac:dyDescent="0.3">
      <c r="C970" s="28"/>
      <c r="D970" s="443"/>
      <c r="E970" s="443"/>
      <c r="F970" s="20"/>
      <c r="G970" s="22"/>
      <c r="H970" s="315"/>
      <c r="I970" s="315"/>
      <c r="J970" s="315"/>
      <c r="N970" s="9"/>
      <c r="O970" s="9"/>
      <c r="P970" s="9"/>
    </row>
    <row r="971" spans="2:16" x14ac:dyDescent="0.3">
      <c r="C971" s="29"/>
      <c r="D971" s="20"/>
      <c r="E971" s="29"/>
      <c r="F971" s="21"/>
      <c r="N971" s="29"/>
      <c r="O971" s="29"/>
      <c r="P971" s="29"/>
    </row>
    <row r="972" spans="2:16" x14ac:dyDescent="0.3">
      <c r="C972" s="29"/>
      <c r="D972" s="20"/>
      <c r="E972" s="29"/>
      <c r="F972" s="21"/>
      <c r="N972" s="29"/>
      <c r="O972" s="29"/>
      <c r="P972" s="29"/>
    </row>
  </sheetData>
  <autoFilter ref="B15:Q963" xr:uid="{00000000-0009-0000-0000-000000000000}"/>
  <mergeCells count="8">
    <mergeCell ref="E13:E14"/>
    <mergeCell ref="P13:P14"/>
    <mergeCell ref="O13:O14"/>
    <mergeCell ref="N13:N14"/>
    <mergeCell ref="A13:A14"/>
    <mergeCell ref="C13:C14"/>
    <mergeCell ref="D13:D14"/>
    <mergeCell ref="B13:B14"/>
  </mergeCells>
  <phoneticPr fontId="7" type="noConversion"/>
  <printOptions horizontalCentered="1"/>
  <pageMargins left="0.64" right="0.21" top="0.5" bottom="0.45" header="0.17" footer="0.17"/>
  <pageSetup paperSize="9" scale="90" fitToHeight="0" orientation="portrait" r:id="rId1"/>
  <headerFooter alignWithMargins="0">
    <oddFooter>Страница &amp;P из &amp;N</oddFooter>
  </headerFooter>
  <ignoredErrors>
    <ignoredError sqref="K157:K159 K174 K229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"/>
  <sheetViews>
    <sheetView workbookViewId="0">
      <selection activeCell="A13" sqref="A13:D13"/>
    </sheetView>
  </sheetViews>
  <sheetFormatPr defaultColWidth="9.1796875" defaultRowHeight="14" x14ac:dyDescent="0.3"/>
  <cols>
    <col min="1" max="1" width="8.26953125" style="708" customWidth="1"/>
    <col min="2" max="2" width="81" style="679" customWidth="1"/>
    <col min="3" max="3" width="11.7265625" style="641" customWidth="1"/>
    <col min="4" max="4" width="17.54296875" style="719" customWidth="1"/>
    <col min="5" max="5" width="11.453125" style="735" customWidth="1"/>
    <col min="6" max="16384" width="9.1796875" style="626"/>
  </cols>
  <sheetData>
    <row r="1" spans="1:5" ht="16.5" x14ac:dyDescent="0.3">
      <c r="D1" s="841" t="s">
        <v>2014</v>
      </c>
    </row>
    <row r="2" spans="1:5" s="650" customFormat="1" x14ac:dyDescent="0.25">
      <c r="A2" s="703" t="s">
        <v>1877</v>
      </c>
      <c r="B2" s="674"/>
      <c r="C2" s="651" t="s">
        <v>1761</v>
      </c>
      <c r="E2" s="731"/>
    </row>
    <row r="3" spans="1:5" s="650" customFormat="1" x14ac:dyDescent="0.25">
      <c r="A3" s="703" t="s">
        <v>1892</v>
      </c>
      <c r="B3" s="674"/>
      <c r="C3" s="651" t="s">
        <v>1762</v>
      </c>
      <c r="E3" s="731"/>
    </row>
    <row r="4" spans="1:5" s="650" customFormat="1" x14ac:dyDescent="0.25">
      <c r="A4" s="703" t="s">
        <v>1890</v>
      </c>
      <c r="B4" s="674"/>
      <c r="C4" s="651" t="s">
        <v>1890</v>
      </c>
      <c r="E4" s="731"/>
    </row>
    <row r="5" spans="1:5" s="603" customFormat="1" x14ac:dyDescent="0.3">
      <c r="A5" s="703"/>
      <c r="B5" s="674"/>
      <c r="C5" s="649"/>
      <c r="E5" s="732"/>
    </row>
    <row r="6" spans="1:5" s="603" customFormat="1" ht="12.5" x14ac:dyDescent="0.25">
      <c r="A6" s="704"/>
      <c r="B6" s="674"/>
      <c r="E6" s="732"/>
    </row>
    <row r="7" spans="1:5" s="650" customFormat="1" x14ac:dyDescent="0.25">
      <c r="A7" s="753" t="s">
        <v>1910</v>
      </c>
      <c r="B7" s="674"/>
      <c r="C7" s="651" t="s">
        <v>1893</v>
      </c>
      <c r="E7" s="731"/>
    </row>
    <row r="8" spans="1:5" s="603" customFormat="1" x14ac:dyDescent="0.25">
      <c r="A8" s="753" t="s">
        <v>1916</v>
      </c>
      <c r="B8" s="650"/>
      <c r="C8" s="651" t="s">
        <v>1917</v>
      </c>
      <c r="E8" s="732"/>
    </row>
    <row r="9" spans="1:5" s="603" customFormat="1" x14ac:dyDescent="0.25">
      <c r="A9" s="703"/>
      <c r="B9" s="674"/>
      <c r="C9" s="651"/>
      <c r="E9" s="732"/>
    </row>
    <row r="10" spans="1:5" s="603" customFormat="1" x14ac:dyDescent="0.25">
      <c r="A10" s="703"/>
      <c r="B10" s="674"/>
      <c r="C10" s="651"/>
      <c r="E10" s="732"/>
    </row>
    <row r="11" spans="1:5" s="603" customFormat="1" ht="17.5" x14ac:dyDescent="0.35">
      <c r="A11" s="813" t="s">
        <v>1881</v>
      </c>
      <c r="B11" s="813"/>
      <c r="C11" s="813"/>
      <c r="D11" s="813"/>
      <c r="E11" s="732"/>
    </row>
    <row r="12" spans="1:5" s="603" customFormat="1" ht="15" x14ac:dyDescent="0.3">
      <c r="A12" s="812" t="s">
        <v>1942</v>
      </c>
      <c r="B12" s="812"/>
      <c r="C12" s="812"/>
      <c r="D12" s="812"/>
      <c r="E12" s="732"/>
    </row>
    <row r="13" spans="1:5" s="603" customFormat="1" ht="32.25" customHeight="1" x14ac:dyDescent="0.25">
      <c r="A13" s="814" t="s">
        <v>1943</v>
      </c>
      <c r="B13" s="814"/>
      <c r="C13" s="814"/>
      <c r="D13" s="814"/>
      <c r="E13" s="732"/>
    </row>
    <row r="14" spans="1:5" s="603" customFormat="1" ht="13.5" customHeight="1" x14ac:dyDescent="0.3">
      <c r="A14" s="815"/>
      <c r="B14" s="815"/>
      <c r="C14" s="815"/>
      <c r="D14" s="815"/>
      <c r="E14" s="732"/>
    </row>
    <row r="15" spans="1:5" s="603" customFormat="1" ht="19.5" customHeight="1" x14ac:dyDescent="0.25">
      <c r="A15" s="816" t="s">
        <v>1878</v>
      </c>
      <c r="B15" s="816"/>
      <c r="C15" s="816"/>
      <c r="D15" s="816"/>
      <c r="E15" s="732"/>
    </row>
    <row r="16" spans="1:5" s="603" customFormat="1" ht="19.5" customHeight="1" x14ac:dyDescent="0.25">
      <c r="A16" s="816"/>
      <c r="B16" s="816"/>
      <c r="C16" s="816"/>
      <c r="D16" s="816"/>
      <c r="E16" s="732"/>
    </row>
    <row r="17" spans="1:5" s="603" customFormat="1" ht="15" x14ac:dyDescent="0.3">
      <c r="A17" s="812" t="s">
        <v>1891</v>
      </c>
      <c r="B17" s="812"/>
      <c r="C17" s="812"/>
      <c r="D17" s="812"/>
      <c r="E17" s="732"/>
    </row>
    <row r="18" spans="1:5" s="603" customFormat="1" ht="15" x14ac:dyDescent="0.25">
      <c r="A18" s="818" t="s">
        <v>1906</v>
      </c>
      <c r="B18" s="818"/>
      <c r="C18" s="818"/>
      <c r="D18" s="818"/>
      <c r="E18" s="732"/>
    </row>
    <row r="19" spans="1:5" s="603" customFormat="1" ht="13" x14ac:dyDescent="0.3">
      <c r="A19" s="705"/>
      <c r="B19" s="675"/>
      <c r="C19" s="652"/>
      <c r="D19" s="653"/>
      <c r="E19" s="732"/>
    </row>
    <row r="20" spans="1:5" s="603" customFormat="1" ht="15" x14ac:dyDescent="0.3">
      <c r="A20" s="812" t="s">
        <v>1879</v>
      </c>
      <c r="B20" s="812"/>
      <c r="C20" s="812"/>
      <c r="D20" s="812"/>
      <c r="E20" s="732"/>
    </row>
    <row r="21" spans="1:5" s="603" customFormat="1" ht="15.5" x14ac:dyDescent="0.35">
      <c r="A21" s="819" t="s">
        <v>1894</v>
      </c>
      <c r="B21" s="819"/>
      <c r="C21" s="819"/>
      <c r="D21" s="819"/>
      <c r="E21" s="732"/>
    </row>
    <row r="22" spans="1:5" s="603" customFormat="1" ht="15.75" customHeight="1" x14ac:dyDescent="0.25">
      <c r="A22" s="820" t="s">
        <v>1919</v>
      </c>
      <c r="B22" s="820"/>
      <c r="C22" s="820"/>
      <c r="D22" s="820"/>
      <c r="E22" s="732"/>
    </row>
    <row r="23" spans="1:5" s="603" customFormat="1" ht="15.75" customHeight="1" x14ac:dyDescent="0.25">
      <c r="A23" s="786"/>
      <c r="B23" s="821" t="s">
        <v>1918</v>
      </c>
      <c r="C23" s="821"/>
      <c r="D23" s="821"/>
      <c r="E23" s="732"/>
    </row>
    <row r="24" spans="1:5" s="603" customFormat="1" ht="13" x14ac:dyDescent="0.3">
      <c r="A24" s="705"/>
      <c r="B24" s="675"/>
      <c r="C24" s="652"/>
      <c r="D24" s="653"/>
      <c r="E24" s="732"/>
    </row>
    <row r="25" spans="1:5" s="603" customFormat="1" ht="15" x14ac:dyDescent="0.3">
      <c r="A25" s="812" t="s">
        <v>1880</v>
      </c>
      <c r="B25" s="812"/>
      <c r="C25" s="812"/>
      <c r="D25" s="812"/>
      <c r="E25" s="732"/>
    </row>
    <row r="26" spans="1:5" s="603" customFormat="1" ht="13" x14ac:dyDescent="0.3">
      <c r="A26" s="815"/>
      <c r="B26" s="815"/>
      <c r="C26" s="815"/>
      <c r="D26" s="815"/>
      <c r="E26" s="732"/>
    </row>
    <row r="27" spans="1:5" s="655" customFormat="1" ht="38.25" customHeight="1" x14ac:dyDescent="0.25">
      <c r="A27" s="817" t="s">
        <v>1920</v>
      </c>
      <c r="B27" s="817"/>
      <c r="C27" s="817"/>
      <c r="D27" s="817"/>
      <c r="E27" s="733"/>
    </row>
    <row r="28" spans="1:5" s="603" customFormat="1" ht="15.5" x14ac:dyDescent="0.35">
      <c r="A28" s="706"/>
      <c r="B28" s="676"/>
      <c r="C28" s="640"/>
      <c r="D28" s="643"/>
      <c r="E28" s="732"/>
    </row>
    <row r="29" spans="1:5" s="633" customFormat="1" ht="15" x14ac:dyDescent="0.3">
      <c r="A29" s="677" t="s">
        <v>1763</v>
      </c>
      <c r="B29" s="677" t="s">
        <v>1764</v>
      </c>
      <c r="C29" s="666" t="s">
        <v>943</v>
      </c>
      <c r="D29" s="667" t="s">
        <v>690</v>
      </c>
      <c r="E29" s="734"/>
    </row>
    <row r="30" spans="1:5" x14ac:dyDescent="0.3">
      <c r="A30" s="756">
        <v>1</v>
      </c>
      <c r="B30" s="756">
        <v>2</v>
      </c>
      <c r="C30" s="757">
        <v>3</v>
      </c>
      <c r="D30" s="757">
        <v>4</v>
      </c>
    </row>
    <row r="31" spans="1:5" ht="15" x14ac:dyDescent="0.3">
      <c r="A31" s="789" t="s">
        <v>1225</v>
      </c>
      <c r="B31" s="787" t="s">
        <v>1983</v>
      </c>
      <c r="C31" s="788"/>
      <c r="D31" s="788"/>
    </row>
    <row r="32" spans="1:5" s="633" customFormat="1" ht="15.5" x14ac:dyDescent="0.3">
      <c r="A32" s="707" t="s">
        <v>1258</v>
      </c>
      <c r="B32" s="780" t="s">
        <v>1921</v>
      </c>
      <c r="C32" s="700"/>
      <c r="D32" s="701"/>
      <c r="E32" s="736"/>
    </row>
    <row r="33" spans="1:6" s="633" customFormat="1" ht="15.5" x14ac:dyDescent="0.3">
      <c r="A33" s="727" t="s">
        <v>1922</v>
      </c>
      <c r="B33" s="728" t="s">
        <v>1923</v>
      </c>
      <c r="C33" s="716"/>
      <c r="D33" s="717"/>
      <c r="E33" s="736"/>
    </row>
    <row r="34" spans="1:6" s="711" customFormat="1" ht="15.5" x14ac:dyDescent="0.3">
      <c r="A34" s="774">
        <f>1</f>
        <v>1</v>
      </c>
      <c r="B34" s="758" t="s">
        <v>1924</v>
      </c>
      <c r="C34" s="654" t="s">
        <v>947</v>
      </c>
      <c r="D34" s="654">
        <v>1</v>
      </c>
      <c r="E34" s="737"/>
    </row>
    <row r="35" spans="1:6" s="711" customFormat="1" ht="15.5" x14ac:dyDescent="0.3">
      <c r="A35" s="774">
        <f>A34+1</f>
        <v>2</v>
      </c>
      <c r="B35" s="758" t="s">
        <v>1925</v>
      </c>
      <c r="C35" s="654" t="s">
        <v>947</v>
      </c>
      <c r="D35" s="654">
        <v>2</v>
      </c>
      <c r="E35" s="737"/>
    </row>
    <row r="36" spans="1:6" s="711" customFormat="1" ht="15.5" x14ac:dyDescent="0.3">
      <c r="A36" s="774">
        <f>A35+1</f>
        <v>3</v>
      </c>
      <c r="B36" s="758" t="s">
        <v>1926</v>
      </c>
      <c r="C36" s="654" t="s">
        <v>947</v>
      </c>
      <c r="D36" s="654">
        <v>5</v>
      </c>
      <c r="E36" s="737"/>
    </row>
    <row r="37" spans="1:6" s="711" customFormat="1" ht="15.5" x14ac:dyDescent="0.3">
      <c r="A37" s="774">
        <f>A36+1</f>
        <v>4</v>
      </c>
      <c r="B37" s="758" t="s">
        <v>1927</v>
      </c>
      <c r="C37" s="654" t="s">
        <v>947</v>
      </c>
      <c r="D37" s="654">
        <v>5</v>
      </c>
      <c r="E37" s="737"/>
    </row>
    <row r="38" spans="1:6" s="711" customFormat="1" ht="18" customHeight="1" x14ac:dyDescent="0.3">
      <c r="A38" s="774">
        <f t="shared" ref="A38:A44" si="0">A37+1</f>
        <v>5</v>
      </c>
      <c r="B38" s="782" t="s">
        <v>1928</v>
      </c>
      <c r="C38" s="654" t="s">
        <v>947</v>
      </c>
      <c r="D38" s="710">
        <v>1</v>
      </c>
      <c r="E38" s="737"/>
    </row>
    <row r="39" spans="1:6" s="711" customFormat="1" ht="18" customHeight="1" x14ac:dyDescent="0.3">
      <c r="A39" s="774">
        <f t="shared" si="0"/>
        <v>6</v>
      </c>
      <c r="B39" s="758" t="s">
        <v>1929</v>
      </c>
      <c r="C39" s="654" t="s">
        <v>947</v>
      </c>
      <c r="D39" s="654">
        <v>1</v>
      </c>
      <c r="E39" s="737"/>
    </row>
    <row r="40" spans="1:6" s="711" customFormat="1" ht="15.75" customHeight="1" x14ac:dyDescent="0.3">
      <c r="A40" s="774">
        <f>A39+1</f>
        <v>7</v>
      </c>
      <c r="B40" s="758" t="s">
        <v>1930</v>
      </c>
      <c r="C40" s="654" t="s">
        <v>947</v>
      </c>
      <c r="D40" s="654">
        <v>1</v>
      </c>
      <c r="E40" s="737"/>
    </row>
    <row r="41" spans="1:6" s="711" customFormat="1" ht="15.5" x14ac:dyDescent="0.3">
      <c r="A41" s="774">
        <f t="shared" si="0"/>
        <v>8</v>
      </c>
      <c r="B41" s="758" t="s">
        <v>1931</v>
      </c>
      <c r="C41" s="654" t="s">
        <v>947</v>
      </c>
      <c r="D41" s="654">
        <v>1</v>
      </c>
      <c r="E41" s="737"/>
    </row>
    <row r="42" spans="1:6" s="711" customFormat="1" ht="46.5" x14ac:dyDescent="0.3">
      <c r="A42" s="774">
        <f t="shared" si="0"/>
        <v>9</v>
      </c>
      <c r="B42" s="758" t="s">
        <v>1932</v>
      </c>
      <c r="C42" s="654" t="s">
        <v>947</v>
      </c>
      <c r="D42" s="654">
        <v>1</v>
      </c>
      <c r="E42" s="737"/>
    </row>
    <row r="43" spans="1:6" s="711" customFormat="1" ht="30" customHeight="1" x14ac:dyDescent="0.3">
      <c r="A43" s="774">
        <f t="shared" si="0"/>
        <v>10</v>
      </c>
      <c r="B43" s="758" t="s">
        <v>1933</v>
      </c>
      <c r="C43" s="654" t="s">
        <v>947</v>
      </c>
      <c r="D43" s="654">
        <v>1</v>
      </c>
      <c r="E43" s="737"/>
    </row>
    <row r="44" spans="1:6" s="711" customFormat="1" ht="31" x14ac:dyDescent="0.3">
      <c r="A44" s="774">
        <f t="shared" si="0"/>
        <v>11</v>
      </c>
      <c r="B44" s="758" t="s">
        <v>1934</v>
      </c>
      <c r="C44" s="654" t="s">
        <v>947</v>
      </c>
      <c r="D44" s="654">
        <v>1</v>
      </c>
      <c r="E44" s="737"/>
    </row>
    <row r="45" spans="1:6" s="711" customFormat="1" ht="18" customHeight="1" x14ac:dyDescent="0.3">
      <c r="A45" s="791" t="s">
        <v>1935</v>
      </c>
      <c r="B45" s="792" t="s">
        <v>1936</v>
      </c>
      <c r="C45" s="790" t="s">
        <v>947</v>
      </c>
      <c r="D45" s="790">
        <v>1</v>
      </c>
      <c r="E45" s="737"/>
    </row>
    <row r="46" spans="1:6" s="779" customFormat="1" ht="31.5" customHeight="1" x14ac:dyDescent="0.3">
      <c r="A46" s="794" t="s">
        <v>1259</v>
      </c>
      <c r="B46" s="780" t="s">
        <v>2013</v>
      </c>
      <c r="C46" s="793" t="s">
        <v>947</v>
      </c>
      <c r="D46" s="793">
        <v>1</v>
      </c>
      <c r="E46" s="778"/>
      <c r="F46" s="781"/>
    </row>
    <row r="47" spans="1:6" s="779" customFormat="1" ht="15.75" customHeight="1" x14ac:dyDescent="0.3">
      <c r="A47" s="774">
        <v>12</v>
      </c>
      <c r="B47" s="758" t="s">
        <v>1984</v>
      </c>
      <c r="C47" s="729" t="s">
        <v>947</v>
      </c>
      <c r="D47" s="799">
        <v>8</v>
      </c>
      <c r="E47" s="778"/>
      <c r="F47" s="781"/>
    </row>
    <row r="48" spans="1:6" s="779" customFormat="1" ht="15.75" customHeight="1" x14ac:dyDescent="0.3">
      <c r="A48" s="774">
        <v>13</v>
      </c>
      <c r="B48" s="758" t="s">
        <v>1985</v>
      </c>
      <c r="C48" s="729" t="s">
        <v>947</v>
      </c>
      <c r="D48" s="799">
        <v>9</v>
      </c>
      <c r="E48" s="778"/>
      <c r="F48" s="781"/>
    </row>
    <row r="49" spans="1:6" s="779" customFormat="1" ht="15.75" customHeight="1" x14ac:dyDescent="0.3">
      <c r="A49" s="774">
        <v>14</v>
      </c>
      <c r="B49" s="758" t="s">
        <v>1986</v>
      </c>
      <c r="C49" s="729" t="s">
        <v>947</v>
      </c>
      <c r="D49" s="799">
        <v>1</v>
      </c>
      <c r="E49" s="778"/>
      <c r="F49" s="781"/>
    </row>
    <row r="50" spans="1:6" s="779" customFormat="1" ht="15.75" customHeight="1" x14ac:dyDescent="0.3">
      <c r="A50" s="774">
        <v>15</v>
      </c>
      <c r="B50" s="758" t="s">
        <v>1987</v>
      </c>
      <c r="C50" s="729" t="s">
        <v>947</v>
      </c>
      <c r="D50" s="799">
        <v>7</v>
      </c>
      <c r="E50" s="778"/>
      <c r="F50" s="781"/>
    </row>
    <row r="51" spans="1:6" s="779" customFormat="1" ht="15.75" customHeight="1" x14ac:dyDescent="0.3">
      <c r="A51" s="774">
        <v>16</v>
      </c>
      <c r="B51" s="760" t="s">
        <v>1988</v>
      </c>
      <c r="C51" s="729" t="s">
        <v>947</v>
      </c>
      <c r="D51" s="799">
        <v>1</v>
      </c>
      <c r="E51" s="778"/>
      <c r="F51" s="781"/>
    </row>
    <row r="52" spans="1:6" s="779" customFormat="1" ht="15.75" customHeight="1" x14ac:dyDescent="0.3">
      <c r="A52" s="774">
        <v>17</v>
      </c>
      <c r="B52" s="760" t="s">
        <v>1989</v>
      </c>
      <c r="C52" s="729" t="s">
        <v>947</v>
      </c>
      <c r="D52" s="799">
        <v>16</v>
      </c>
      <c r="E52" s="778"/>
      <c r="F52" s="781"/>
    </row>
    <row r="53" spans="1:6" s="779" customFormat="1" ht="15.75" customHeight="1" x14ac:dyDescent="0.3">
      <c r="A53" s="774">
        <v>18</v>
      </c>
      <c r="B53" s="760" t="s">
        <v>1990</v>
      </c>
      <c r="C53" s="729" t="s">
        <v>947</v>
      </c>
      <c r="D53" s="799">
        <v>8</v>
      </c>
      <c r="E53" s="778"/>
      <c r="F53" s="781"/>
    </row>
    <row r="54" spans="1:6" s="779" customFormat="1" ht="15.75" customHeight="1" x14ac:dyDescent="0.3">
      <c r="A54" s="774">
        <v>19</v>
      </c>
      <c r="B54" s="763" t="s">
        <v>1991</v>
      </c>
      <c r="C54" s="729" t="s">
        <v>947</v>
      </c>
      <c r="D54" s="799">
        <v>53</v>
      </c>
      <c r="E54" s="778"/>
      <c r="F54" s="781"/>
    </row>
    <row r="55" spans="1:6" s="779" customFormat="1" ht="15.75" customHeight="1" x14ac:dyDescent="0.3">
      <c r="A55" s="774">
        <v>20</v>
      </c>
      <c r="B55" s="783" t="s">
        <v>1992</v>
      </c>
      <c r="C55" s="729" t="s">
        <v>947</v>
      </c>
      <c r="D55" s="799">
        <v>2</v>
      </c>
      <c r="E55" s="778"/>
      <c r="F55" s="781"/>
    </row>
    <row r="56" spans="1:6" s="779" customFormat="1" ht="15.75" customHeight="1" x14ac:dyDescent="0.3">
      <c r="A56" s="774">
        <v>21</v>
      </c>
      <c r="B56" s="763" t="s">
        <v>1993</v>
      </c>
      <c r="C56" s="729" t="s">
        <v>947</v>
      </c>
      <c r="D56" s="799">
        <v>9</v>
      </c>
      <c r="E56" s="778"/>
      <c r="F56" s="781"/>
    </row>
    <row r="57" spans="1:6" s="779" customFormat="1" ht="15.75" customHeight="1" x14ac:dyDescent="0.3">
      <c r="A57" s="774">
        <v>22</v>
      </c>
      <c r="B57" s="760" t="s">
        <v>1994</v>
      </c>
      <c r="C57" s="729" t="s">
        <v>947</v>
      </c>
      <c r="D57" s="799">
        <v>1</v>
      </c>
      <c r="E57" s="778"/>
      <c r="F57" s="781"/>
    </row>
    <row r="58" spans="1:6" s="779" customFormat="1" ht="15.75" customHeight="1" x14ac:dyDescent="0.3">
      <c r="A58" s="774">
        <v>23</v>
      </c>
      <c r="B58" s="758" t="s">
        <v>1995</v>
      </c>
      <c r="C58" s="729" t="s">
        <v>947</v>
      </c>
      <c r="D58" s="799">
        <v>63</v>
      </c>
      <c r="E58" s="778"/>
      <c r="F58" s="781"/>
    </row>
    <row r="59" spans="1:6" s="779" customFormat="1" ht="15.75" customHeight="1" x14ac:dyDescent="0.3">
      <c r="A59" s="774">
        <v>24</v>
      </c>
      <c r="B59" s="760" t="s">
        <v>1996</v>
      </c>
      <c r="C59" s="729" t="s">
        <v>947</v>
      </c>
      <c r="D59" s="799">
        <v>8</v>
      </c>
      <c r="E59" s="778"/>
      <c r="F59" s="781"/>
    </row>
    <row r="60" spans="1:6" s="779" customFormat="1" ht="15.75" customHeight="1" x14ac:dyDescent="0.3">
      <c r="A60" s="774">
        <v>25</v>
      </c>
      <c r="B60" s="760" t="s">
        <v>1997</v>
      </c>
      <c r="C60" s="729" t="s">
        <v>947</v>
      </c>
      <c r="D60" s="799">
        <v>2</v>
      </c>
      <c r="E60" s="778"/>
      <c r="F60" s="781"/>
    </row>
    <row r="61" spans="1:6" s="779" customFormat="1" ht="15.75" customHeight="1" x14ac:dyDescent="0.3">
      <c r="A61" s="774">
        <v>26</v>
      </c>
      <c r="B61" s="760" t="s">
        <v>1998</v>
      </c>
      <c r="C61" s="784" t="s">
        <v>947</v>
      </c>
      <c r="D61" s="799">
        <v>2</v>
      </c>
      <c r="E61" s="778"/>
      <c r="F61" s="781"/>
    </row>
    <row r="62" spans="1:6" s="779" customFormat="1" ht="15.75" customHeight="1" x14ac:dyDescent="0.3">
      <c r="A62" s="774">
        <v>27</v>
      </c>
      <c r="B62" s="760" t="s">
        <v>1999</v>
      </c>
      <c r="C62" s="729" t="s">
        <v>947</v>
      </c>
      <c r="D62" s="799">
        <v>9</v>
      </c>
      <c r="E62" s="778"/>
      <c r="F62" s="781"/>
    </row>
    <row r="63" spans="1:6" s="779" customFormat="1" ht="15.75" customHeight="1" x14ac:dyDescent="0.3">
      <c r="A63" s="774">
        <v>28</v>
      </c>
      <c r="B63" s="760" t="s">
        <v>2000</v>
      </c>
      <c r="C63" s="729" t="s">
        <v>947</v>
      </c>
      <c r="D63" s="799">
        <v>2</v>
      </c>
      <c r="E63" s="778"/>
      <c r="F63" s="781"/>
    </row>
    <row r="64" spans="1:6" s="779" customFormat="1" ht="15.75" customHeight="1" x14ac:dyDescent="0.3">
      <c r="A64" s="774">
        <v>29</v>
      </c>
      <c r="B64" s="760" t="s">
        <v>1970</v>
      </c>
      <c r="C64" s="729" t="s">
        <v>947</v>
      </c>
      <c r="D64" s="799">
        <v>8</v>
      </c>
      <c r="E64" s="778"/>
      <c r="F64" s="781"/>
    </row>
    <row r="65" spans="1:6" s="779" customFormat="1" ht="15.75" customHeight="1" x14ac:dyDescent="0.3">
      <c r="A65" s="774">
        <v>30</v>
      </c>
      <c r="B65" s="760" t="s">
        <v>2001</v>
      </c>
      <c r="C65" s="729" t="s">
        <v>947</v>
      </c>
      <c r="D65" s="799">
        <v>10</v>
      </c>
      <c r="E65" s="778"/>
      <c r="F65" s="781"/>
    </row>
    <row r="66" spans="1:6" s="779" customFormat="1" ht="15.75" customHeight="1" x14ac:dyDescent="0.3">
      <c r="A66" s="774">
        <v>31</v>
      </c>
      <c r="B66" s="760" t="s">
        <v>2002</v>
      </c>
      <c r="C66" s="729" t="s">
        <v>947</v>
      </c>
      <c r="D66" s="799">
        <v>24</v>
      </c>
      <c r="E66" s="778"/>
      <c r="F66" s="781"/>
    </row>
    <row r="67" spans="1:6" s="779" customFormat="1" ht="15.75" customHeight="1" x14ac:dyDescent="0.3">
      <c r="A67" s="774">
        <v>32</v>
      </c>
      <c r="B67" s="760" t="s">
        <v>2003</v>
      </c>
      <c r="C67" s="729" t="s">
        <v>947</v>
      </c>
      <c r="D67" s="799">
        <v>15</v>
      </c>
      <c r="E67" s="778"/>
      <c r="F67" s="781"/>
    </row>
    <row r="68" spans="1:6" s="779" customFormat="1" ht="15.75" customHeight="1" x14ac:dyDescent="0.3">
      <c r="A68" s="774">
        <v>33</v>
      </c>
      <c r="B68" s="760" t="s">
        <v>1974</v>
      </c>
      <c r="C68" s="729" t="s">
        <v>947</v>
      </c>
      <c r="D68" s="799">
        <v>2</v>
      </c>
      <c r="E68" s="778"/>
      <c r="F68" s="781"/>
    </row>
    <row r="69" spans="1:6" s="779" customFormat="1" ht="15.75" customHeight="1" x14ac:dyDescent="0.3">
      <c r="A69" s="774">
        <v>34</v>
      </c>
      <c r="B69" s="760" t="s">
        <v>2004</v>
      </c>
      <c r="C69" s="729" t="s">
        <v>947</v>
      </c>
      <c r="D69" s="799">
        <v>9</v>
      </c>
      <c r="E69" s="778"/>
      <c r="F69" s="781"/>
    </row>
    <row r="70" spans="1:6" s="779" customFormat="1" ht="15.75" customHeight="1" x14ac:dyDescent="0.3">
      <c r="A70" s="774">
        <v>35</v>
      </c>
      <c r="B70" s="760" t="s">
        <v>2006</v>
      </c>
      <c r="C70" s="729" t="s">
        <v>2005</v>
      </c>
      <c r="D70" s="799">
        <v>3300</v>
      </c>
      <c r="E70" s="778"/>
      <c r="F70" s="781"/>
    </row>
    <row r="71" spans="1:6" s="779" customFormat="1" ht="15.75" customHeight="1" x14ac:dyDescent="0.3">
      <c r="A71" s="774">
        <v>36</v>
      </c>
      <c r="B71" s="760" t="s">
        <v>2007</v>
      </c>
      <c r="C71" s="729" t="s">
        <v>2005</v>
      </c>
      <c r="D71" s="799">
        <v>310</v>
      </c>
      <c r="E71" s="778"/>
      <c r="F71" s="781"/>
    </row>
    <row r="72" spans="1:6" s="779" customFormat="1" ht="15.75" customHeight="1" x14ac:dyDescent="0.3">
      <c r="A72" s="774">
        <v>37</v>
      </c>
      <c r="B72" s="760" t="s">
        <v>2008</v>
      </c>
      <c r="C72" s="729" t="s">
        <v>2005</v>
      </c>
      <c r="D72" s="799">
        <v>63</v>
      </c>
      <c r="E72" s="778"/>
      <c r="F72" s="781"/>
    </row>
    <row r="73" spans="1:6" s="779" customFormat="1" ht="15.75" customHeight="1" x14ac:dyDescent="0.3">
      <c r="A73" s="774">
        <v>38</v>
      </c>
      <c r="B73" s="760" t="s">
        <v>2009</v>
      </c>
      <c r="C73" s="729" t="s">
        <v>2005</v>
      </c>
      <c r="D73" s="799">
        <v>130</v>
      </c>
      <c r="E73" s="778"/>
      <c r="F73" s="781"/>
    </row>
    <row r="74" spans="1:6" s="779" customFormat="1" ht="30.75" customHeight="1" x14ac:dyDescent="0.3">
      <c r="A74" s="774">
        <v>39</v>
      </c>
      <c r="B74" s="760" t="s">
        <v>2010</v>
      </c>
      <c r="C74" s="729" t="s">
        <v>2005</v>
      </c>
      <c r="D74" s="799">
        <v>11000</v>
      </c>
      <c r="E74" s="778"/>
      <c r="F74" s="781"/>
    </row>
    <row r="75" spans="1:6" s="779" customFormat="1" ht="15.75" customHeight="1" x14ac:dyDescent="0.3">
      <c r="A75" s="774">
        <v>40</v>
      </c>
      <c r="B75" s="760" t="s">
        <v>2011</v>
      </c>
      <c r="C75" s="729" t="s">
        <v>947</v>
      </c>
      <c r="D75" s="654">
        <v>10</v>
      </c>
      <c r="E75" s="778"/>
      <c r="F75" s="781"/>
    </row>
    <row r="76" spans="1:6" s="779" customFormat="1" ht="15.75" customHeight="1" x14ac:dyDescent="0.3">
      <c r="A76" s="774">
        <v>41</v>
      </c>
      <c r="B76" s="760" t="s">
        <v>2012</v>
      </c>
      <c r="C76" s="729" t="s">
        <v>947</v>
      </c>
      <c r="D76" s="654">
        <v>16</v>
      </c>
      <c r="E76" s="778"/>
      <c r="F76" s="781"/>
    </row>
    <row r="77" spans="1:6" ht="15" x14ac:dyDescent="0.3">
      <c r="A77" s="712"/>
      <c r="B77" s="713" t="s">
        <v>1907</v>
      </c>
      <c r="C77" s="712"/>
      <c r="D77" s="712"/>
      <c r="E77" s="738"/>
    </row>
    <row r="78" spans="1:6" ht="46.5" x14ac:dyDescent="0.3">
      <c r="A78" s="634">
        <f>A77+1</f>
        <v>1</v>
      </c>
      <c r="B78" s="714" t="s">
        <v>1937</v>
      </c>
      <c r="C78" s="634"/>
      <c r="D78" s="715"/>
      <c r="E78" s="738"/>
    </row>
    <row r="79" spans="1:6" ht="15.5" x14ac:dyDescent="0.3">
      <c r="A79" s="634">
        <f t="shared" ref="A79:A94" si="1">A78+1</f>
        <v>2</v>
      </c>
      <c r="B79" s="714" t="s">
        <v>1938</v>
      </c>
      <c r="C79" s="634"/>
      <c r="D79" s="715"/>
      <c r="E79" s="738"/>
    </row>
    <row r="80" spans="1:6" ht="114.75" customHeight="1" x14ac:dyDescent="0.3">
      <c r="A80" s="634">
        <f t="shared" si="1"/>
        <v>3</v>
      </c>
      <c r="B80" s="754" t="s">
        <v>1944</v>
      </c>
      <c r="C80" s="634"/>
      <c r="D80" s="715"/>
      <c r="E80" s="738"/>
    </row>
    <row r="81" spans="1:11" ht="139.5" x14ac:dyDescent="0.3">
      <c r="A81" s="634">
        <f>A80+1</f>
        <v>4</v>
      </c>
      <c r="B81" s="754" t="s">
        <v>1939</v>
      </c>
      <c r="C81" s="634"/>
      <c r="D81" s="715"/>
      <c r="E81" s="738"/>
    </row>
    <row r="82" spans="1:11" ht="31" x14ac:dyDescent="0.3">
      <c r="A82" s="634">
        <f>A81+1</f>
        <v>5</v>
      </c>
      <c r="B82" s="755" t="s">
        <v>1901</v>
      </c>
      <c r="C82" s="634"/>
      <c r="D82" s="715"/>
      <c r="E82" s="738"/>
    </row>
    <row r="83" spans="1:11" ht="31" x14ac:dyDescent="0.3">
      <c r="A83" s="710">
        <f>A82+1</f>
        <v>6</v>
      </c>
      <c r="B83" s="755" t="s">
        <v>1940</v>
      </c>
      <c r="C83" s="634"/>
      <c r="D83" s="715"/>
      <c r="E83" s="738"/>
    </row>
    <row r="84" spans="1:11" ht="15.5" x14ac:dyDescent="0.3">
      <c r="A84" s="634">
        <f t="shared" si="1"/>
        <v>7</v>
      </c>
      <c r="B84" s="755" t="s">
        <v>1941</v>
      </c>
      <c r="C84" s="634"/>
      <c r="D84" s="715"/>
      <c r="E84" s="738"/>
    </row>
    <row r="85" spans="1:11" ht="31" x14ac:dyDescent="0.3">
      <c r="A85" s="634">
        <f t="shared" si="1"/>
        <v>8</v>
      </c>
      <c r="B85" s="755" t="s">
        <v>1902</v>
      </c>
      <c r="C85" s="634"/>
      <c r="D85" s="715"/>
      <c r="E85" s="738"/>
    </row>
    <row r="86" spans="1:11" ht="31" x14ac:dyDescent="0.3">
      <c r="A86" s="634">
        <f t="shared" si="1"/>
        <v>9</v>
      </c>
      <c r="B86" s="755" t="s">
        <v>1903</v>
      </c>
      <c r="C86" s="634"/>
      <c r="D86" s="715"/>
    </row>
    <row r="87" spans="1:11" ht="46.5" x14ac:dyDescent="0.3">
      <c r="A87" s="634">
        <f t="shared" si="1"/>
        <v>10</v>
      </c>
      <c r="B87" s="714" t="s">
        <v>1911</v>
      </c>
      <c r="C87" s="634"/>
      <c r="D87" s="715"/>
    </row>
    <row r="88" spans="1:11" ht="108.5" x14ac:dyDescent="0.3">
      <c r="A88" s="634">
        <f t="shared" si="1"/>
        <v>11</v>
      </c>
      <c r="B88" s="718" t="s">
        <v>1912</v>
      </c>
      <c r="C88" s="634"/>
      <c r="D88" s="715"/>
    </row>
    <row r="89" spans="1:11" ht="46.5" x14ac:dyDescent="0.3">
      <c r="A89" s="634">
        <f t="shared" si="1"/>
        <v>12</v>
      </c>
      <c r="B89" s="755" t="s">
        <v>1904</v>
      </c>
      <c r="C89" s="714"/>
      <c r="D89" s="715"/>
      <c r="F89" s="702"/>
      <c r="G89" s="702"/>
      <c r="H89" s="702"/>
      <c r="I89" s="702"/>
      <c r="J89" s="702"/>
      <c r="K89" s="702"/>
    </row>
    <row r="90" spans="1:11" ht="77.5" x14ac:dyDescent="0.3">
      <c r="A90" s="634">
        <f t="shared" si="1"/>
        <v>13</v>
      </c>
      <c r="B90" s="755" t="s">
        <v>1913</v>
      </c>
      <c r="C90" s="714"/>
      <c r="D90" s="715"/>
      <c r="F90" s="702"/>
      <c r="G90" s="702"/>
      <c r="H90" s="702"/>
      <c r="I90" s="702"/>
      <c r="J90" s="702"/>
      <c r="K90" s="702"/>
    </row>
    <row r="91" spans="1:11" ht="46.5" x14ac:dyDescent="0.3">
      <c r="A91" s="634">
        <f t="shared" si="1"/>
        <v>14</v>
      </c>
      <c r="B91" s="755" t="s">
        <v>1914</v>
      </c>
      <c r="C91" s="714"/>
      <c r="D91" s="715"/>
      <c r="F91" s="702"/>
      <c r="G91" s="702"/>
      <c r="H91" s="702"/>
      <c r="I91" s="702"/>
      <c r="J91" s="702"/>
      <c r="K91" s="702"/>
    </row>
    <row r="92" spans="1:11" ht="46.5" x14ac:dyDescent="0.3">
      <c r="A92" s="634">
        <f t="shared" si="1"/>
        <v>15</v>
      </c>
      <c r="B92" s="755" t="s">
        <v>1905</v>
      </c>
      <c r="C92" s="718"/>
      <c r="D92" s="715"/>
      <c r="F92" s="702"/>
      <c r="G92" s="702"/>
      <c r="H92" s="702"/>
      <c r="I92" s="702"/>
      <c r="J92" s="702"/>
      <c r="K92" s="702"/>
    </row>
    <row r="93" spans="1:11" ht="217" x14ac:dyDescent="0.3">
      <c r="A93" s="634">
        <f t="shared" si="1"/>
        <v>16</v>
      </c>
      <c r="B93" s="755" t="s">
        <v>1915</v>
      </c>
      <c r="C93" s="718"/>
      <c r="D93" s="715"/>
      <c r="F93" s="702"/>
      <c r="G93" s="702"/>
      <c r="H93" s="702"/>
      <c r="I93" s="702"/>
      <c r="J93" s="702"/>
      <c r="K93" s="702"/>
    </row>
    <row r="94" spans="1:11" ht="15.5" x14ac:dyDescent="0.3">
      <c r="A94" s="634">
        <f t="shared" si="1"/>
        <v>17</v>
      </c>
      <c r="B94" s="755" t="s">
        <v>1945</v>
      </c>
      <c r="C94" s="718"/>
      <c r="D94" s="715"/>
      <c r="F94" s="702"/>
      <c r="G94" s="702"/>
      <c r="H94" s="702"/>
      <c r="I94" s="702"/>
      <c r="J94" s="702"/>
      <c r="K94" s="702"/>
    </row>
    <row r="95" spans="1:11" ht="15.5" x14ac:dyDescent="0.3">
      <c r="A95" s="795"/>
      <c r="B95" s="796"/>
      <c r="C95" s="797"/>
      <c r="D95" s="798"/>
      <c r="F95" s="702"/>
      <c r="G95" s="702"/>
      <c r="H95" s="702"/>
      <c r="I95" s="702"/>
      <c r="J95" s="702"/>
      <c r="K95" s="702"/>
    </row>
    <row r="96" spans="1:11" ht="15.5" x14ac:dyDescent="0.3">
      <c r="A96" s="795"/>
      <c r="B96" s="796" t="s">
        <v>1949</v>
      </c>
      <c r="C96" s="797"/>
      <c r="D96" s="798"/>
      <c r="F96" s="702"/>
      <c r="G96" s="702"/>
      <c r="H96" s="702"/>
      <c r="I96" s="702"/>
      <c r="J96" s="702"/>
      <c r="K96" s="702"/>
    </row>
    <row r="97" spans="2:11" x14ac:dyDescent="0.3">
      <c r="B97" s="679" t="s">
        <v>1950</v>
      </c>
      <c r="F97" s="702"/>
      <c r="G97" s="702"/>
      <c r="H97" s="702"/>
      <c r="I97" s="702"/>
      <c r="J97" s="702"/>
      <c r="K97" s="702"/>
    </row>
    <row r="98" spans="2:11" x14ac:dyDescent="0.3">
      <c r="F98" s="702"/>
      <c r="G98" s="702"/>
      <c r="H98" s="702"/>
      <c r="I98" s="702"/>
      <c r="J98" s="702"/>
      <c r="K98" s="702"/>
    </row>
    <row r="99" spans="2:11" x14ac:dyDescent="0.3">
      <c r="F99" s="702"/>
      <c r="G99" s="702"/>
      <c r="H99" s="702"/>
      <c r="I99" s="702"/>
      <c r="J99" s="702"/>
      <c r="K99" s="702"/>
    </row>
    <row r="100" spans="2:11" x14ac:dyDescent="0.3">
      <c r="B100" s="678" t="s">
        <v>1896</v>
      </c>
      <c r="C100" s="660"/>
      <c r="D100" s="661" t="s">
        <v>1946</v>
      </c>
      <c r="F100" s="702"/>
      <c r="G100" s="702"/>
      <c r="H100" s="702"/>
      <c r="I100" s="702"/>
      <c r="J100" s="702"/>
      <c r="K100" s="702"/>
    </row>
    <row r="101" spans="2:11" x14ac:dyDescent="0.3">
      <c r="F101" s="702"/>
      <c r="G101" s="702"/>
      <c r="H101" s="702"/>
      <c r="I101" s="702"/>
      <c r="J101" s="702"/>
      <c r="K101" s="702"/>
    </row>
    <row r="102" spans="2:11" x14ac:dyDescent="0.3">
      <c r="B102" s="678" t="s">
        <v>1897</v>
      </c>
      <c r="C102" s="660"/>
      <c r="D102" s="661" t="s">
        <v>1947</v>
      </c>
      <c r="F102" s="702"/>
      <c r="G102" s="702"/>
      <c r="H102" s="702"/>
      <c r="I102" s="702"/>
      <c r="J102" s="702"/>
      <c r="K102" s="702"/>
    </row>
    <row r="103" spans="2:11" x14ac:dyDescent="0.3">
      <c r="B103" s="678"/>
      <c r="C103" s="662"/>
      <c r="D103" s="661"/>
    </row>
    <row r="104" spans="2:11" x14ac:dyDescent="0.3">
      <c r="B104" s="678" t="s">
        <v>1898</v>
      </c>
      <c r="C104" s="660"/>
      <c r="D104" s="661" t="s">
        <v>1948</v>
      </c>
    </row>
  </sheetData>
  <autoFilter ref="B2:B86" xr:uid="{00000000-0009-0000-0000-000001000000}"/>
  <mergeCells count="14">
    <mergeCell ref="A27:D27"/>
    <mergeCell ref="A18:D18"/>
    <mergeCell ref="A20:D20"/>
    <mergeCell ref="A21:D21"/>
    <mergeCell ref="A22:D22"/>
    <mergeCell ref="A25:D25"/>
    <mergeCell ref="A26:D26"/>
    <mergeCell ref="B23:D23"/>
    <mergeCell ref="A17:D17"/>
    <mergeCell ref="A11:D11"/>
    <mergeCell ref="A12:D12"/>
    <mergeCell ref="A13:D13"/>
    <mergeCell ref="A14:D14"/>
    <mergeCell ref="A15:D16"/>
  </mergeCells>
  <pageMargins left="0.78740157480314965" right="0.39370078740157483" top="0.39370078740157483" bottom="0.39370078740157483" header="0.31496062992125984" footer="0.31496062992125984"/>
  <pageSetup paperSize="9" scale="2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G630"/>
  <sheetViews>
    <sheetView tabSelected="1" zoomScale="85" zoomScaleNormal="85" workbookViewId="0">
      <selection activeCell="C32" sqref="C8:C32"/>
    </sheetView>
  </sheetViews>
  <sheetFormatPr defaultColWidth="9.1796875" defaultRowHeight="14" x14ac:dyDescent="0.3"/>
  <cols>
    <col min="1" max="1" width="4.453125" style="647" customWidth="1"/>
    <col min="2" max="2" width="52.26953125" style="690" customWidth="1"/>
    <col min="3" max="3" width="8.81640625" style="632" customWidth="1"/>
    <col min="4" max="4" width="10.81640625" style="668" customWidth="1"/>
    <col min="5" max="5" width="11.453125" style="691" customWidth="1"/>
    <col min="6" max="6" width="15.54296875" style="629" customWidth="1"/>
    <col min="7" max="7" width="13.7265625" style="629" customWidth="1"/>
    <col min="8" max="8" width="13.26953125" style="629" customWidth="1"/>
    <col min="9" max="9" width="16.7265625" style="709" customWidth="1"/>
    <col min="10" max="31" width="9.1796875" style="629"/>
    <col min="32" max="16384" width="9.1796875" style="627"/>
  </cols>
  <sheetData>
    <row r="1" spans="1:33" ht="77.25" customHeight="1" x14ac:dyDescent="0.25">
      <c r="A1" s="822" t="s">
        <v>1951</v>
      </c>
      <c r="B1" s="822"/>
      <c r="C1" s="823"/>
      <c r="D1" s="822"/>
      <c r="E1" s="822"/>
      <c r="F1" s="822"/>
      <c r="G1" s="822"/>
      <c r="H1" s="822"/>
    </row>
    <row r="2" spans="1:33" ht="16.5" x14ac:dyDescent="0.35">
      <c r="A2" s="644"/>
      <c r="B2" s="680"/>
      <c r="C2" s="642"/>
      <c r="I2" s="691"/>
    </row>
    <row r="3" spans="1:33" s="648" customFormat="1" x14ac:dyDescent="0.3">
      <c r="A3" s="824" t="s">
        <v>966</v>
      </c>
      <c r="B3" s="826" t="s">
        <v>1882</v>
      </c>
      <c r="C3" s="827" t="s">
        <v>1899</v>
      </c>
      <c r="D3" s="828" t="s">
        <v>1883</v>
      </c>
      <c r="E3" s="827" t="s">
        <v>1884</v>
      </c>
      <c r="F3" s="827"/>
      <c r="G3" s="827" t="s">
        <v>1885</v>
      </c>
      <c r="H3" s="827" t="s">
        <v>1886</v>
      </c>
      <c r="I3" s="694"/>
      <c r="J3" s="639"/>
      <c r="K3" s="639"/>
      <c r="L3" s="639"/>
      <c r="M3" s="639"/>
      <c r="N3" s="639"/>
      <c r="O3" s="639"/>
      <c r="P3" s="639"/>
      <c r="Q3" s="639"/>
      <c r="R3" s="639"/>
      <c r="S3" s="639"/>
      <c r="T3" s="639"/>
      <c r="U3" s="639"/>
      <c r="V3" s="639"/>
      <c r="W3" s="639"/>
      <c r="X3" s="639"/>
      <c r="Y3" s="639"/>
      <c r="Z3" s="639"/>
      <c r="AA3" s="639"/>
      <c r="AB3" s="639"/>
      <c r="AC3" s="639"/>
      <c r="AD3" s="639"/>
      <c r="AE3" s="639"/>
    </row>
    <row r="4" spans="1:33" s="648" customFormat="1" ht="28" x14ac:dyDescent="0.3">
      <c r="A4" s="825"/>
      <c r="B4" s="826"/>
      <c r="C4" s="827"/>
      <c r="D4" s="828"/>
      <c r="E4" s="692" t="s">
        <v>1887</v>
      </c>
      <c r="F4" s="720" t="s">
        <v>1888</v>
      </c>
      <c r="G4" s="829"/>
      <c r="H4" s="829"/>
      <c r="I4" s="694"/>
      <c r="J4" s="639"/>
      <c r="K4" s="639"/>
      <c r="L4" s="639"/>
      <c r="M4" s="639"/>
      <c r="N4" s="639"/>
      <c r="O4" s="639"/>
      <c r="P4" s="639"/>
      <c r="Q4" s="639"/>
      <c r="R4" s="639"/>
      <c r="S4" s="639"/>
      <c r="T4" s="639"/>
      <c r="U4" s="639"/>
      <c r="V4" s="639"/>
      <c r="W4" s="639"/>
      <c r="X4" s="639"/>
      <c r="Y4" s="639"/>
      <c r="Z4" s="639"/>
      <c r="AA4" s="639"/>
      <c r="AB4" s="639"/>
      <c r="AC4" s="639"/>
      <c r="AD4" s="639"/>
      <c r="AE4" s="639"/>
    </row>
    <row r="5" spans="1:33" x14ac:dyDescent="0.25">
      <c r="A5" s="699" t="s">
        <v>1225</v>
      </c>
      <c r="B5" s="681" t="s">
        <v>1258</v>
      </c>
      <c r="C5" s="664" t="s">
        <v>1259</v>
      </c>
      <c r="D5" s="663" t="s">
        <v>1268</v>
      </c>
      <c r="E5" s="692" t="s">
        <v>1269</v>
      </c>
      <c r="F5" s="720" t="s">
        <v>1282</v>
      </c>
      <c r="G5" s="664" t="s">
        <v>1283</v>
      </c>
      <c r="H5" s="664" t="s">
        <v>1333</v>
      </c>
      <c r="I5" s="691"/>
    </row>
    <row r="6" spans="1:33" ht="45" x14ac:dyDescent="0.25">
      <c r="A6" s="707" t="s">
        <v>1225</v>
      </c>
      <c r="B6" s="780" t="s">
        <v>1952</v>
      </c>
      <c r="C6" s="700"/>
      <c r="D6" s="701"/>
      <c r="E6" s="742"/>
      <c r="F6" s="742"/>
      <c r="G6" s="742"/>
      <c r="H6" s="741"/>
      <c r="I6" s="691"/>
      <c r="AF6" s="629"/>
      <c r="AG6" s="629"/>
    </row>
    <row r="7" spans="1:33" s="744" customFormat="1" ht="45" x14ac:dyDescent="0.25">
      <c r="A7" s="727" t="s">
        <v>1177</v>
      </c>
      <c r="B7" s="728" t="s">
        <v>1952</v>
      </c>
      <c r="C7" s="716"/>
      <c r="D7" s="717"/>
      <c r="E7" s="717"/>
      <c r="F7" s="717"/>
      <c r="G7" s="717"/>
      <c r="H7" s="717"/>
      <c r="I7" s="752"/>
      <c r="J7" s="751"/>
      <c r="K7" s="751"/>
      <c r="L7" s="751"/>
      <c r="M7" s="751"/>
      <c r="N7" s="751"/>
      <c r="O7" s="751"/>
      <c r="P7" s="751"/>
      <c r="Q7" s="751"/>
      <c r="R7" s="751"/>
      <c r="S7" s="751"/>
      <c r="T7" s="751"/>
      <c r="U7" s="751"/>
      <c r="V7" s="751"/>
      <c r="W7" s="751"/>
      <c r="X7" s="751"/>
      <c r="Y7" s="751"/>
      <c r="Z7" s="751"/>
      <c r="AA7" s="751"/>
      <c r="AB7" s="751"/>
      <c r="AC7" s="751"/>
      <c r="AD7" s="751"/>
      <c r="AE7" s="751"/>
      <c r="AF7" s="751"/>
      <c r="AG7" s="751"/>
    </row>
    <row r="8" spans="1:33" s="766" customFormat="1" ht="15.5" x14ac:dyDescent="0.35">
      <c r="A8" s="730">
        <f>1</f>
        <v>1</v>
      </c>
      <c r="B8" s="758" t="s">
        <v>1953</v>
      </c>
      <c r="C8" s="729" t="s">
        <v>947</v>
      </c>
      <c r="D8" s="799">
        <v>8</v>
      </c>
      <c r="E8" s="759" t="s">
        <v>1900</v>
      </c>
      <c r="F8" s="800">
        <v>8</v>
      </c>
      <c r="G8" s="759" t="s">
        <v>1900</v>
      </c>
      <c r="H8" s="759" t="s">
        <v>1900</v>
      </c>
      <c r="I8" s="764"/>
      <c r="J8" s="776"/>
      <c r="K8" s="765"/>
      <c r="L8" s="765"/>
      <c r="M8" s="765"/>
      <c r="N8" s="765"/>
      <c r="O8" s="765"/>
      <c r="P8" s="765"/>
      <c r="Q8" s="765"/>
      <c r="R8" s="765"/>
      <c r="S8" s="765"/>
      <c r="T8" s="765"/>
      <c r="U8" s="765"/>
      <c r="V8" s="765"/>
      <c r="W8" s="765"/>
      <c r="X8" s="765"/>
      <c r="Y8" s="765"/>
      <c r="Z8" s="765"/>
      <c r="AA8" s="765"/>
      <c r="AB8" s="765"/>
      <c r="AC8" s="765"/>
      <c r="AD8" s="765"/>
      <c r="AE8" s="765"/>
      <c r="AF8" s="765"/>
      <c r="AG8" s="765"/>
    </row>
    <row r="9" spans="1:33" s="766" customFormat="1" ht="29.25" customHeight="1" x14ac:dyDescent="0.35">
      <c r="A9" s="730">
        <f>A8+1</f>
        <v>2</v>
      </c>
      <c r="B9" s="758" t="s">
        <v>1954</v>
      </c>
      <c r="C9" s="729" t="s">
        <v>947</v>
      </c>
      <c r="D9" s="799">
        <v>9</v>
      </c>
      <c r="E9" s="759" t="s">
        <v>1900</v>
      </c>
      <c r="F9" s="800">
        <v>9</v>
      </c>
      <c r="G9" s="759" t="s">
        <v>1900</v>
      </c>
      <c r="H9" s="759" t="s">
        <v>1900</v>
      </c>
      <c r="I9" s="764"/>
      <c r="J9" s="776"/>
      <c r="K9" s="765"/>
      <c r="L9" s="765"/>
      <c r="M9" s="765"/>
      <c r="N9" s="765"/>
      <c r="O9" s="765"/>
      <c r="P9" s="765"/>
      <c r="Q9" s="765"/>
      <c r="R9" s="765"/>
      <c r="S9" s="765"/>
      <c r="T9" s="765"/>
      <c r="U9" s="765"/>
      <c r="V9" s="765"/>
      <c r="W9" s="765"/>
      <c r="X9" s="765"/>
      <c r="Y9" s="765"/>
      <c r="Z9" s="765"/>
      <c r="AA9" s="765"/>
      <c r="AB9" s="765"/>
      <c r="AC9" s="765"/>
      <c r="AD9" s="765"/>
      <c r="AE9" s="765"/>
      <c r="AF9" s="765"/>
      <c r="AG9" s="765"/>
    </row>
    <row r="10" spans="1:33" s="766" customFormat="1" ht="15.5" x14ac:dyDescent="0.35">
      <c r="A10" s="730">
        <f t="shared" ref="A10:A12" si="0">A9+1</f>
        <v>3</v>
      </c>
      <c r="B10" s="758" t="s">
        <v>1955</v>
      </c>
      <c r="C10" s="729" t="s">
        <v>947</v>
      </c>
      <c r="D10" s="799">
        <v>1</v>
      </c>
      <c r="E10" s="759" t="s">
        <v>1900</v>
      </c>
      <c r="F10" s="800">
        <v>1</v>
      </c>
      <c r="G10" s="759" t="s">
        <v>1900</v>
      </c>
      <c r="H10" s="759" t="s">
        <v>1900</v>
      </c>
      <c r="I10" s="764"/>
      <c r="J10" s="776"/>
      <c r="K10" s="765"/>
      <c r="L10" s="765"/>
      <c r="M10" s="765"/>
      <c r="N10" s="765"/>
      <c r="O10" s="765"/>
      <c r="P10" s="765"/>
      <c r="Q10" s="765"/>
      <c r="R10" s="765"/>
      <c r="S10" s="765"/>
      <c r="T10" s="765"/>
      <c r="U10" s="765"/>
      <c r="V10" s="765"/>
      <c r="W10" s="765"/>
      <c r="X10" s="765"/>
      <c r="Y10" s="765"/>
      <c r="Z10" s="765"/>
      <c r="AA10" s="765"/>
      <c r="AB10" s="765"/>
      <c r="AC10" s="765"/>
      <c r="AD10" s="765"/>
      <c r="AE10" s="765"/>
      <c r="AF10" s="765"/>
      <c r="AG10" s="765"/>
    </row>
    <row r="11" spans="1:33" s="766" customFormat="1" ht="15.5" x14ac:dyDescent="0.35">
      <c r="A11" s="730">
        <f>A10+1</f>
        <v>4</v>
      </c>
      <c r="B11" s="758" t="s">
        <v>1956</v>
      </c>
      <c r="C11" s="729" t="s">
        <v>947</v>
      </c>
      <c r="D11" s="799">
        <v>7</v>
      </c>
      <c r="E11" s="759" t="s">
        <v>1900</v>
      </c>
      <c r="F11" s="800">
        <v>7</v>
      </c>
      <c r="G11" s="759" t="s">
        <v>1900</v>
      </c>
      <c r="H11" s="759" t="s">
        <v>1900</v>
      </c>
      <c r="I11" s="764"/>
      <c r="J11" s="776"/>
      <c r="K11" s="765"/>
      <c r="L11" s="765"/>
      <c r="M11" s="765"/>
      <c r="N11" s="765"/>
      <c r="O11" s="765"/>
      <c r="P11" s="765"/>
      <c r="Q11" s="765"/>
      <c r="R11" s="765"/>
      <c r="S11" s="765"/>
      <c r="T11" s="765"/>
      <c r="U11" s="765"/>
      <c r="V11" s="765"/>
      <c r="W11" s="765"/>
      <c r="X11" s="765"/>
      <c r="Y11" s="765"/>
      <c r="Z11" s="765"/>
      <c r="AA11" s="765"/>
      <c r="AB11" s="765"/>
      <c r="AC11" s="765"/>
      <c r="AD11" s="765"/>
      <c r="AE11" s="765"/>
      <c r="AF11" s="765"/>
      <c r="AG11" s="765"/>
    </row>
    <row r="12" spans="1:33" s="766" customFormat="1" ht="15.5" x14ac:dyDescent="0.35">
      <c r="A12" s="730">
        <f t="shared" si="0"/>
        <v>5</v>
      </c>
      <c r="B12" s="760" t="s">
        <v>1957</v>
      </c>
      <c r="C12" s="729" t="s">
        <v>947</v>
      </c>
      <c r="D12" s="799">
        <v>1</v>
      </c>
      <c r="E12" s="759" t="s">
        <v>1900</v>
      </c>
      <c r="F12" s="800">
        <v>1</v>
      </c>
      <c r="G12" s="759" t="s">
        <v>1900</v>
      </c>
      <c r="H12" s="759" t="s">
        <v>1900</v>
      </c>
      <c r="I12" s="767"/>
      <c r="J12" s="765"/>
      <c r="K12" s="765"/>
      <c r="L12" s="765"/>
      <c r="M12" s="765"/>
      <c r="N12" s="765"/>
      <c r="O12" s="765"/>
      <c r="P12" s="765"/>
      <c r="Q12" s="765"/>
      <c r="R12" s="765"/>
      <c r="S12" s="765"/>
      <c r="T12" s="765"/>
      <c r="U12" s="765"/>
      <c r="V12" s="765"/>
      <c r="W12" s="765"/>
      <c r="X12" s="765"/>
      <c r="Y12" s="765"/>
      <c r="Z12" s="765"/>
      <c r="AA12" s="765"/>
      <c r="AB12" s="765"/>
      <c r="AC12" s="765"/>
      <c r="AD12" s="765"/>
      <c r="AE12" s="765"/>
      <c r="AF12" s="765"/>
      <c r="AG12" s="765"/>
    </row>
    <row r="13" spans="1:33" s="766" customFormat="1" ht="15.5" x14ac:dyDescent="0.35">
      <c r="A13" s="730">
        <f t="shared" ref="A13:A32" si="1">A12+1</f>
        <v>6</v>
      </c>
      <c r="B13" s="760" t="s">
        <v>1958</v>
      </c>
      <c r="C13" s="729" t="s">
        <v>947</v>
      </c>
      <c r="D13" s="799">
        <v>16</v>
      </c>
      <c r="E13" s="761" t="s">
        <v>1900</v>
      </c>
      <c r="F13" s="800">
        <v>16</v>
      </c>
      <c r="G13" s="759" t="s">
        <v>1900</v>
      </c>
      <c r="H13" s="759" t="s">
        <v>1900</v>
      </c>
      <c r="I13" s="767"/>
      <c r="J13" s="765"/>
      <c r="K13" s="765"/>
      <c r="L13" s="765"/>
      <c r="M13" s="765"/>
      <c r="N13" s="765"/>
      <c r="O13" s="765"/>
      <c r="P13" s="765"/>
      <c r="Q13" s="765"/>
      <c r="R13" s="765"/>
      <c r="S13" s="765"/>
      <c r="T13" s="765"/>
      <c r="U13" s="765"/>
      <c r="V13" s="765"/>
      <c r="W13" s="765"/>
      <c r="X13" s="765"/>
      <c r="Y13" s="765"/>
      <c r="Z13" s="765"/>
      <c r="AA13" s="765"/>
      <c r="AB13" s="765"/>
      <c r="AC13" s="765"/>
      <c r="AD13" s="765"/>
      <c r="AE13" s="765"/>
      <c r="AF13" s="765"/>
      <c r="AG13" s="765"/>
    </row>
    <row r="14" spans="1:33" s="766" customFormat="1" ht="15.5" x14ac:dyDescent="0.35">
      <c r="A14" s="730">
        <f t="shared" si="1"/>
        <v>7</v>
      </c>
      <c r="B14" s="760" t="s">
        <v>1959</v>
      </c>
      <c r="C14" s="729" t="s">
        <v>947</v>
      </c>
      <c r="D14" s="799">
        <v>8</v>
      </c>
      <c r="E14" s="762" t="s">
        <v>1900</v>
      </c>
      <c r="F14" s="800">
        <v>8</v>
      </c>
      <c r="G14" s="759" t="s">
        <v>1900</v>
      </c>
      <c r="H14" s="759" t="s">
        <v>1900</v>
      </c>
      <c r="I14" s="767"/>
      <c r="J14" s="776"/>
      <c r="K14" s="765"/>
      <c r="L14" s="765"/>
      <c r="M14" s="765"/>
      <c r="N14" s="765"/>
      <c r="O14" s="765"/>
      <c r="P14" s="765"/>
      <c r="Q14" s="765"/>
      <c r="R14" s="765"/>
      <c r="S14" s="765"/>
      <c r="T14" s="765"/>
      <c r="U14" s="765"/>
      <c r="V14" s="765"/>
      <c r="W14" s="765"/>
      <c r="X14" s="765"/>
      <c r="Y14" s="765"/>
      <c r="Z14" s="765"/>
      <c r="AA14" s="765"/>
      <c r="AB14" s="765"/>
      <c r="AC14" s="765"/>
      <c r="AD14" s="765"/>
      <c r="AE14" s="765"/>
      <c r="AF14" s="765"/>
      <c r="AG14" s="765"/>
    </row>
    <row r="15" spans="1:33" s="769" customFormat="1" ht="15.5" x14ac:dyDescent="0.35">
      <c r="A15" s="730">
        <f t="shared" si="1"/>
        <v>8</v>
      </c>
      <c r="B15" s="763" t="s">
        <v>1960</v>
      </c>
      <c r="C15" s="729" t="s">
        <v>947</v>
      </c>
      <c r="D15" s="799">
        <v>53</v>
      </c>
      <c r="E15" s="762" t="s">
        <v>1900</v>
      </c>
      <c r="F15" s="800">
        <v>53</v>
      </c>
      <c r="G15" s="759" t="s">
        <v>1900</v>
      </c>
      <c r="H15" s="759" t="s">
        <v>1900</v>
      </c>
      <c r="I15" s="768"/>
      <c r="J15" s="776"/>
      <c r="AF15" s="770"/>
      <c r="AG15" s="770"/>
    </row>
    <row r="16" spans="1:33" s="766" customFormat="1" ht="15.5" x14ac:dyDescent="0.35">
      <c r="A16" s="730">
        <f t="shared" si="1"/>
        <v>9</v>
      </c>
      <c r="B16" s="783" t="s">
        <v>1961</v>
      </c>
      <c r="C16" s="729" t="s">
        <v>947</v>
      </c>
      <c r="D16" s="799">
        <v>2</v>
      </c>
      <c r="E16" s="762" t="s">
        <v>1900</v>
      </c>
      <c r="F16" s="800">
        <v>2</v>
      </c>
      <c r="G16" s="759" t="s">
        <v>1900</v>
      </c>
      <c r="H16" s="759" t="s">
        <v>1900</v>
      </c>
      <c r="I16" s="767"/>
      <c r="J16" s="776"/>
      <c r="K16" s="765"/>
      <c r="L16" s="765"/>
      <c r="M16" s="765"/>
      <c r="N16" s="765"/>
      <c r="O16" s="765"/>
      <c r="P16" s="765"/>
      <c r="Q16" s="765"/>
      <c r="R16" s="765"/>
      <c r="S16" s="765"/>
      <c r="T16" s="765"/>
      <c r="U16" s="765"/>
      <c r="V16" s="765"/>
      <c r="W16" s="765"/>
      <c r="X16" s="765"/>
      <c r="Y16" s="765"/>
      <c r="Z16" s="765"/>
      <c r="AA16" s="765"/>
      <c r="AB16" s="765"/>
      <c r="AC16" s="765"/>
      <c r="AD16" s="765"/>
      <c r="AE16" s="765"/>
      <c r="AF16" s="765"/>
      <c r="AG16" s="765"/>
    </row>
    <row r="17" spans="1:33" s="766" customFormat="1" ht="31" x14ac:dyDescent="0.35">
      <c r="A17" s="730">
        <f t="shared" si="1"/>
        <v>10</v>
      </c>
      <c r="B17" s="763" t="s">
        <v>1962</v>
      </c>
      <c r="C17" s="729" t="s">
        <v>947</v>
      </c>
      <c r="D17" s="799">
        <v>9</v>
      </c>
      <c r="E17" s="762" t="s">
        <v>1900</v>
      </c>
      <c r="F17" s="800">
        <v>9</v>
      </c>
      <c r="G17" s="759" t="s">
        <v>1900</v>
      </c>
      <c r="H17" s="759" t="s">
        <v>1900</v>
      </c>
      <c r="I17" s="767"/>
      <c r="J17" s="776"/>
      <c r="K17" s="765"/>
      <c r="L17" s="765"/>
      <c r="M17" s="765"/>
      <c r="N17" s="765"/>
      <c r="O17" s="765"/>
      <c r="P17" s="765"/>
      <c r="Q17" s="765"/>
      <c r="R17" s="765"/>
      <c r="S17" s="765"/>
      <c r="T17" s="765"/>
      <c r="U17" s="765"/>
      <c r="V17" s="765"/>
      <c r="W17" s="765"/>
      <c r="X17" s="765"/>
      <c r="Y17" s="765"/>
      <c r="Z17" s="765"/>
      <c r="AA17" s="765"/>
      <c r="AB17" s="765"/>
      <c r="AC17" s="765"/>
      <c r="AD17" s="765"/>
      <c r="AE17" s="765"/>
      <c r="AF17" s="765"/>
      <c r="AG17" s="765"/>
    </row>
    <row r="18" spans="1:33" s="766" customFormat="1" ht="15.5" x14ac:dyDescent="0.35">
      <c r="A18" s="730">
        <f t="shared" si="1"/>
        <v>11</v>
      </c>
      <c r="B18" s="760" t="s">
        <v>1963</v>
      </c>
      <c r="C18" s="729" t="s">
        <v>947</v>
      </c>
      <c r="D18" s="799">
        <v>1</v>
      </c>
      <c r="E18" s="762" t="s">
        <v>1900</v>
      </c>
      <c r="F18" s="800">
        <v>1</v>
      </c>
      <c r="G18" s="759" t="s">
        <v>1900</v>
      </c>
      <c r="H18" s="759" t="s">
        <v>1900</v>
      </c>
      <c r="I18" s="767"/>
      <c r="J18" s="776"/>
      <c r="K18" s="765"/>
      <c r="L18" s="765"/>
      <c r="M18" s="765"/>
      <c r="N18" s="765"/>
      <c r="O18" s="765"/>
      <c r="P18" s="765"/>
      <c r="Q18" s="765"/>
      <c r="R18" s="765"/>
      <c r="S18" s="765"/>
      <c r="T18" s="765"/>
      <c r="U18" s="765"/>
      <c r="V18" s="765"/>
      <c r="W18" s="765"/>
      <c r="X18" s="765"/>
      <c r="Y18" s="765"/>
      <c r="Z18" s="765"/>
      <c r="AA18" s="765"/>
      <c r="AB18" s="765"/>
      <c r="AC18" s="765"/>
      <c r="AD18" s="765"/>
      <c r="AE18" s="765"/>
      <c r="AF18" s="765"/>
      <c r="AG18" s="765"/>
    </row>
    <row r="19" spans="1:33" s="773" customFormat="1" ht="15.5" x14ac:dyDescent="0.35">
      <c r="A19" s="730">
        <f t="shared" si="1"/>
        <v>12</v>
      </c>
      <c r="B19" s="758" t="s">
        <v>1964</v>
      </c>
      <c r="C19" s="729" t="s">
        <v>947</v>
      </c>
      <c r="D19" s="799">
        <v>63</v>
      </c>
      <c r="E19" s="762" t="s">
        <v>1900</v>
      </c>
      <c r="F19" s="800">
        <v>63</v>
      </c>
      <c r="G19" s="759" t="s">
        <v>1900</v>
      </c>
      <c r="H19" s="759" t="s">
        <v>1900</v>
      </c>
      <c r="I19" s="771"/>
      <c r="J19" s="776"/>
      <c r="K19" s="772"/>
      <c r="L19" s="772"/>
      <c r="M19" s="772"/>
      <c r="N19" s="772"/>
      <c r="O19" s="772"/>
      <c r="P19" s="772"/>
      <c r="Q19" s="772"/>
      <c r="R19" s="772"/>
      <c r="S19" s="772"/>
      <c r="T19" s="772"/>
      <c r="U19" s="772"/>
      <c r="V19" s="772"/>
      <c r="W19" s="772"/>
      <c r="X19" s="772"/>
      <c r="Y19" s="772"/>
      <c r="Z19" s="772"/>
      <c r="AA19" s="772"/>
      <c r="AB19" s="772"/>
      <c r="AC19" s="772"/>
      <c r="AD19" s="772"/>
      <c r="AE19" s="772"/>
    </row>
    <row r="20" spans="1:33" s="766" customFormat="1" ht="15.5" x14ac:dyDescent="0.35">
      <c r="A20" s="730">
        <f t="shared" si="1"/>
        <v>13</v>
      </c>
      <c r="B20" s="760" t="s">
        <v>1965</v>
      </c>
      <c r="C20" s="729" t="s">
        <v>947</v>
      </c>
      <c r="D20" s="799">
        <v>8</v>
      </c>
      <c r="E20" s="762" t="s">
        <v>1900</v>
      </c>
      <c r="F20" s="801">
        <v>8</v>
      </c>
      <c r="G20" s="759" t="s">
        <v>1900</v>
      </c>
      <c r="H20" s="759" t="s">
        <v>1900</v>
      </c>
      <c r="I20" s="767"/>
      <c r="J20" s="775"/>
      <c r="K20" s="765"/>
      <c r="L20" s="765"/>
      <c r="M20" s="765"/>
      <c r="N20" s="765"/>
      <c r="O20" s="765"/>
      <c r="P20" s="765"/>
      <c r="Q20" s="765"/>
      <c r="R20" s="765"/>
      <c r="S20" s="765"/>
      <c r="T20" s="765"/>
      <c r="U20" s="765"/>
      <c r="V20" s="765"/>
      <c r="W20" s="765"/>
      <c r="X20" s="765"/>
      <c r="Y20" s="765"/>
      <c r="Z20" s="765"/>
      <c r="AA20" s="765"/>
      <c r="AB20" s="765"/>
      <c r="AC20" s="765"/>
      <c r="AD20" s="765"/>
      <c r="AE20" s="765"/>
      <c r="AF20" s="765"/>
      <c r="AG20" s="765"/>
    </row>
    <row r="21" spans="1:33" s="766" customFormat="1" ht="15.5" x14ac:dyDescent="0.35">
      <c r="A21" s="730">
        <f t="shared" si="1"/>
        <v>14</v>
      </c>
      <c r="B21" s="760" t="s">
        <v>1966</v>
      </c>
      <c r="C21" s="729" t="s">
        <v>947</v>
      </c>
      <c r="D21" s="799">
        <v>2</v>
      </c>
      <c r="E21" s="762" t="s">
        <v>1900</v>
      </c>
      <c r="F21" s="801">
        <v>2</v>
      </c>
      <c r="G21" s="759" t="s">
        <v>1900</v>
      </c>
      <c r="H21" s="759" t="s">
        <v>1900</v>
      </c>
      <c r="I21" s="767"/>
      <c r="J21" s="775"/>
      <c r="K21" s="765"/>
      <c r="L21" s="765"/>
      <c r="M21" s="765"/>
      <c r="N21" s="765"/>
      <c r="O21" s="765"/>
      <c r="P21" s="765"/>
      <c r="Q21" s="765"/>
      <c r="R21" s="765"/>
      <c r="S21" s="765"/>
      <c r="T21" s="765"/>
      <c r="U21" s="765"/>
      <c r="V21" s="765"/>
      <c r="W21" s="765"/>
      <c r="X21" s="765"/>
      <c r="Y21" s="765"/>
      <c r="Z21" s="765"/>
      <c r="AA21" s="765"/>
      <c r="AB21" s="765"/>
      <c r="AC21" s="765"/>
      <c r="AD21" s="765"/>
      <c r="AE21" s="765"/>
      <c r="AF21" s="765"/>
      <c r="AG21" s="765"/>
    </row>
    <row r="22" spans="1:33" s="766" customFormat="1" ht="15.5" x14ac:dyDescent="0.35">
      <c r="A22" s="730">
        <f t="shared" si="1"/>
        <v>15</v>
      </c>
      <c r="B22" s="760" t="s">
        <v>1967</v>
      </c>
      <c r="C22" s="784" t="s">
        <v>947</v>
      </c>
      <c r="D22" s="799">
        <v>2</v>
      </c>
      <c r="E22" s="762" t="s">
        <v>1900</v>
      </c>
      <c r="F22" s="800">
        <v>2</v>
      </c>
      <c r="G22" s="759" t="s">
        <v>1900</v>
      </c>
      <c r="H22" s="759" t="s">
        <v>1900</v>
      </c>
      <c r="I22" s="767"/>
      <c r="J22" s="776"/>
      <c r="K22" s="765"/>
      <c r="L22" s="765"/>
      <c r="M22" s="765"/>
      <c r="N22" s="765"/>
      <c r="O22" s="765"/>
      <c r="P22" s="765"/>
      <c r="Q22" s="765"/>
      <c r="R22" s="765"/>
      <c r="S22" s="765"/>
      <c r="T22" s="765"/>
      <c r="U22" s="765"/>
      <c r="V22" s="765"/>
      <c r="W22" s="765"/>
      <c r="X22" s="765"/>
      <c r="Y22" s="765"/>
      <c r="Z22" s="765"/>
      <c r="AA22" s="765"/>
      <c r="AB22" s="765"/>
      <c r="AC22" s="765"/>
      <c r="AD22" s="765"/>
      <c r="AE22" s="765"/>
      <c r="AF22" s="765"/>
      <c r="AG22" s="765"/>
    </row>
    <row r="23" spans="1:33" s="766" customFormat="1" ht="15.5" x14ac:dyDescent="0.35">
      <c r="A23" s="730">
        <f t="shared" si="1"/>
        <v>16</v>
      </c>
      <c r="B23" s="760" t="s">
        <v>1968</v>
      </c>
      <c r="C23" s="729" t="s">
        <v>947</v>
      </c>
      <c r="D23" s="799">
        <v>9</v>
      </c>
      <c r="E23" s="762" t="s">
        <v>1900</v>
      </c>
      <c r="F23" s="800">
        <v>9</v>
      </c>
      <c r="G23" s="759" t="s">
        <v>1900</v>
      </c>
      <c r="H23" s="759" t="s">
        <v>1900</v>
      </c>
      <c r="I23" s="767"/>
      <c r="J23" s="776"/>
      <c r="K23" s="765"/>
      <c r="L23" s="765"/>
      <c r="M23" s="765"/>
      <c r="N23" s="765"/>
      <c r="O23" s="765"/>
      <c r="P23" s="765"/>
      <c r="Q23" s="765"/>
      <c r="R23" s="765"/>
      <c r="S23" s="765"/>
      <c r="T23" s="765"/>
      <c r="U23" s="765"/>
      <c r="V23" s="765"/>
      <c r="W23" s="765"/>
      <c r="X23" s="765"/>
      <c r="Y23" s="765"/>
      <c r="Z23" s="765"/>
      <c r="AA23" s="765"/>
      <c r="AB23" s="765"/>
      <c r="AC23" s="765"/>
      <c r="AD23" s="765"/>
      <c r="AE23" s="765"/>
      <c r="AF23" s="765"/>
      <c r="AG23" s="765"/>
    </row>
    <row r="24" spans="1:33" s="766" customFormat="1" ht="31" x14ac:dyDescent="0.35">
      <c r="A24" s="730">
        <f t="shared" si="1"/>
        <v>17</v>
      </c>
      <c r="B24" s="760" t="s">
        <v>1969</v>
      </c>
      <c r="C24" s="729" t="s">
        <v>947</v>
      </c>
      <c r="D24" s="799">
        <v>2</v>
      </c>
      <c r="E24" s="762" t="s">
        <v>1900</v>
      </c>
      <c r="F24" s="799">
        <v>2</v>
      </c>
      <c r="G24" s="759" t="s">
        <v>1900</v>
      </c>
      <c r="H24" s="759" t="s">
        <v>1900</v>
      </c>
      <c r="I24" s="767"/>
      <c r="J24" s="777"/>
      <c r="K24" s="765"/>
      <c r="L24" s="765"/>
      <c r="M24" s="765"/>
      <c r="N24" s="765"/>
      <c r="O24" s="765"/>
      <c r="P24" s="765"/>
      <c r="Q24" s="765"/>
      <c r="R24" s="765"/>
      <c r="S24" s="765"/>
      <c r="T24" s="765"/>
      <c r="U24" s="765"/>
      <c r="V24" s="765"/>
      <c r="W24" s="765"/>
      <c r="X24" s="765"/>
      <c r="Y24" s="765"/>
      <c r="Z24" s="765"/>
      <c r="AA24" s="765"/>
      <c r="AB24" s="765"/>
      <c r="AC24" s="765"/>
      <c r="AD24" s="765"/>
      <c r="AE24" s="765"/>
      <c r="AF24" s="765"/>
      <c r="AG24" s="765"/>
    </row>
    <row r="25" spans="1:33" s="766" customFormat="1" ht="31" x14ac:dyDescent="0.35">
      <c r="A25" s="730">
        <f t="shared" si="1"/>
        <v>18</v>
      </c>
      <c r="B25" s="760" t="s">
        <v>1970</v>
      </c>
      <c r="C25" s="729" t="s">
        <v>947</v>
      </c>
      <c r="D25" s="799">
        <v>8</v>
      </c>
      <c r="E25" s="762" t="s">
        <v>1900</v>
      </c>
      <c r="F25" s="799">
        <v>8</v>
      </c>
      <c r="G25" s="762" t="s">
        <v>1900</v>
      </c>
      <c r="H25" s="762" t="s">
        <v>1900</v>
      </c>
      <c r="I25" s="767"/>
      <c r="J25" s="777"/>
      <c r="K25" s="765"/>
      <c r="L25" s="765"/>
      <c r="M25" s="765"/>
      <c r="N25" s="765"/>
      <c r="O25" s="765"/>
      <c r="P25" s="765"/>
      <c r="Q25" s="765"/>
      <c r="R25" s="765"/>
      <c r="S25" s="765"/>
      <c r="T25" s="765"/>
      <c r="U25" s="765"/>
      <c r="V25" s="765"/>
      <c r="W25" s="765"/>
      <c r="X25" s="765"/>
      <c r="Y25" s="765"/>
      <c r="Z25" s="765"/>
      <c r="AA25" s="765"/>
      <c r="AB25" s="765"/>
      <c r="AC25" s="765"/>
      <c r="AD25" s="765"/>
      <c r="AE25" s="765"/>
      <c r="AF25" s="765"/>
      <c r="AG25" s="765"/>
    </row>
    <row r="26" spans="1:33" s="766" customFormat="1" ht="31" x14ac:dyDescent="0.35">
      <c r="A26" s="730">
        <f t="shared" si="1"/>
        <v>19</v>
      </c>
      <c r="B26" s="760" t="s">
        <v>1971</v>
      </c>
      <c r="C26" s="729" t="s">
        <v>947</v>
      </c>
      <c r="D26" s="799">
        <v>10</v>
      </c>
      <c r="E26" s="762" t="s">
        <v>1900</v>
      </c>
      <c r="F26" s="799">
        <v>10</v>
      </c>
      <c r="G26" s="762" t="s">
        <v>1900</v>
      </c>
      <c r="H26" s="762" t="s">
        <v>1900</v>
      </c>
      <c r="I26" s="767"/>
      <c r="J26" s="777"/>
      <c r="K26" s="765"/>
      <c r="L26" s="765"/>
      <c r="M26" s="765"/>
      <c r="N26" s="765"/>
      <c r="O26" s="765"/>
      <c r="P26" s="765"/>
      <c r="Q26" s="765"/>
      <c r="R26" s="765"/>
      <c r="S26" s="765"/>
      <c r="T26" s="765"/>
      <c r="U26" s="765"/>
      <c r="V26" s="765"/>
      <c r="W26" s="765"/>
      <c r="X26" s="765"/>
      <c r="Y26" s="765"/>
      <c r="Z26" s="765"/>
      <c r="AA26" s="765"/>
      <c r="AB26" s="765"/>
      <c r="AC26" s="765"/>
      <c r="AD26" s="765"/>
      <c r="AE26" s="765"/>
      <c r="AF26" s="765"/>
      <c r="AG26" s="765"/>
    </row>
    <row r="27" spans="1:33" s="766" customFormat="1" ht="15.5" x14ac:dyDescent="0.35">
      <c r="A27" s="730">
        <f t="shared" si="1"/>
        <v>20</v>
      </c>
      <c r="B27" s="760" t="s">
        <v>1972</v>
      </c>
      <c r="C27" s="729" t="s">
        <v>947</v>
      </c>
      <c r="D27" s="799">
        <v>24</v>
      </c>
      <c r="E27" s="762" t="s">
        <v>1900</v>
      </c>
      <c r="F27" s="799">
        <v>24</v>
      </c>
      <c r="G27" s="762" t="s">
        <v>1900</v>
      </c>
      <c r="H27" s="762" t="s">
        <v>1900</v>
      </c>
      <c r="I27" s="767"/>
      <c r="J27" s="777"/>
      <c r="K27" s="765"/>
      <c r="L27" s="765"/>
      <c r="M27" s="765"/>
      <c r="N27" s="765"/>
      <c r="O27" s="765"/>
      <c r="P27" s="765"/>
      <c r="Q27" s="765"/>
      <c r="R27" s="765"/>
      <c r="S27" s="765"/>
      <c r="T27" s="765"/>
      <c r="U27" s="765"/>
      <c r="V27" s="765"/>
      <c r="W27" s="765"/>
      <c r="X27" s="765"/>
      <c r="Y27" s="765"/>
      <c r="Z27" s="765"/>
      <c r="AA27" s="765"/>
      <c r="AB27" s="765"/>
      <c r="AC27" s="765"/>
      <c r="AD27" s="765"/>
      <c r="AE27" s="765"/>
      <c r="AF27" s="765"/>
      <c r="AG27" s="765"/>
    </row>
    <row r="28" spans="1:33" s="766" customFormat="1" ht="31" x14ac:dyDescent="0.35">
      <c r="A28" s="730">
        <f t="shared" si="1"/>
        <v>21</v>
      </c>
      <c r="B28" s="760" t="s">
        <v>1973</v>
      </c>
      <c r="C28" s="729" t="s">
        <v>947</v>
      </c>
      <c r="D28" s="799">
        <v>15</v>
      </c>
      <c r="E28" s="762" t="s">
        <v>1900</v>
      </c>
      <c r="F28" s="799">
        <v>15</v>
      </c>
      <c r="G28" s="762" t="s">
        <v>1900</v>
      </c>
      <c r="H28" s="762" t="s">
        <v>1900</v>
      </c>
      <c r="I28" s="767"/>
      <c r="J28" s="777"/>
      <c r="K28" s="765"/>
      <c r="L28" s="765"/>
      <c r="M28" s="765"/>
      <c r="N28" s="765"/>
      <c r="O28" s="765"/>
      <c r="P28" s="765"/>
      <c r="Q28" s="765"/>
      <c r="R28" s="765"/>
      <c r="S28" s="765"/>
      <c r="T28" s="765"/>
      <c r="U28" s="765"/>
      <c r="V28" s="765"/>
      <c r="W28" s="765"/>
      <c r="X28" s="765"/>
      <c r="Y28" s="765"/>
      <c r="Z28" s="765"/>
      <c r="AA28" s="765"/>
      <c r="AB28" s="765"/>
      <c r="AC28" s="765"/>
      <c r="AD28" s="765"/>
      <c r="AE28" s="765"/>
      <c r="AF28" s="765"/>
      <c r="AG28" s="765"/>
    </row>
    <row r="29" spans="1:33" s="766" customFormat="1" ht="31" x14ac:dyDescent="0.35">
      <c r="A29" s="730">
        <f t="shared" si="1"/>
        <v>22</v>
      </c>
      <c r="B29" s="760" t="s">
        <v>1974</v>
      </c>
      <c r="C29" s="729" t="s">
        <v>947</v>
      </c>
      <c r="D29" s="799">
        <v>2</v>
      </c>
      <c r="E29" s="762" t="s">
        <v>1900</v>
      </c>
      <c r="F29" s="799">
        <v>2</v>
      </c>
      <c r="G29" s="762" t="s">
        <v>1900</v>
      </c>
      <c r="H29" s="762" t="s">
        <v>1900</v>
      </c>
      <c r="I29" s="767"/>
      <c r="J29" s="777"/>
      <c r="K29" s="765"/>
      <c r="L29" s="765"/>
      <c r="M29" s="765"/>
      <c r="N29" s="765"/>
      <c r="O29" s="765"/>
      <c r="P29" s="765"/>
      <c r="Q29" s="765"/>
      <c r="R29" s="765"/>
      <c r="S29" s="765"/>
      <c r="T29" s="765"/>
      <c r="U29" s="765"/>
      <c r="V29" s="765"/>
      <c r="W29" s="765"/>
      <c r="X29" s="765"/>
      <c r="Y29" s="765"/>
      <c r="Z29" s="765"/>
      <c r="AA29" s="765"/>
      <c r="AB29" s="765"/>
      <c r="AC29" s="765"/>
      <c r="AD29" s="765"/>
      <c r="AE29" s="765"/>
      <c r="AF29" s="765"/>
      <c r="AG29" s="765"/>
    </row>
    <row r="30" spans="1:33" s="766" customFormat="1" ht="31" x14ac:dyDescent="0.35">
      <c r="A30" s="730">
        <f t="shared" si="1"/>
        <v>23</v>
      </c>
      <c r="B30" s="760" t="s">
        <v>1975</v>
      </c>
      <c r="C30" s="729" t="s">
        <v>947</v>
      </c>
      <c r="D30" s="799">
        <v>9</v>
      </c>
      <c r="E30" s="762" t="s">
        <v>1900</v>
      </c>
      <c r="F30" s="799">
        <v>9</v>
      </c>
      <c r="G30" s="762" t="s">
        <v>1900</v>
      </c>
      <c r="H30" s="762" t="s">
        <v>1900</v>
      </c>
      <c r="I30" s="767"/>
      <c r="J30" s="777"/>
      <c r="K30" s="765"/>
      <c r="L30" s="765"/>
      <c r="M30" s="765"/>
      <c r="N30" s="765"/>
      <c r="O30" s="765"/>
      <c r="P30" s="765"/>
      <c r="Q30" s="765"/>
      <c r="R30" s="765"/>
      <c r="S30" s="765"/>
      <c r="T30" s="765"/>
      <c r="U30" s="765"/>
      <c r="V30" s="765"/>
      <c r="W30" s="765"/>
      <c r="X30" s="765"/>
      <c r="Y30" s="765"/>
      <c r="Z30" s="765"/>
      <c r="AA30" s="765"/>
      <c r="AB30" s="765"/>
      <c r="AC30" s="765"/>
      <c r="AD30" s="765"/>
      <c r="AE30" s="765"/>
      <c r="AF30" s="765"/>
      <c r="AG30" s="765"/>
    </row>
    <row r="31" spans="1:33" s="766" customFormat="1" ht="15.5" x14ac:dyDescent="0.35">
      <c r="A31" s="730">
        <f t="shared" si="1"/>
        <v>24</v>
      </c>
      <c r="B31" s="760" t="s">
        <v>1977</v>
      </c>
      <c r="C31" s="729" t="s">
        <v>1976</v>
      </c>
      <c r="D31" s="799">
        <v>1</v>
      </c>
      <c r="E31" s="762" t="s">
        <v>1900</v>
      </c>
      <c r="F31" s="799">
        <v>1</v>
      </c>
      <c r="G31" s="762" t="s">
        <v>1900</v>
      </c>
      <c r="H31" s="762" t="s">
        <v>1900</v>
      </c>
      <c r="I31" s="767"/>
      <c r="J31" s="777"/>
      <c r="K31" s="765"/>
      <c r="L31" s="765"/>
      <c r="M31" s="765"/>
      <c r="N31" s="765"/>
      <c r="O31" s="765"/>
      <c r="P31" s="765"/>
      <c r="Q31" s="765"/>
      <c r="R31" s="765"/>
      <c r="S31" s="765"/>
      <c r="T31" s="765"/>
      <c r="U31" s="765"/>
      <c r="V31" s="765"/>
      <c r="W31" s="765"/>
      <c r="X31" s="765"/>
      <c r="Y31" s="765"/>
      <c r="Z31" s="765"/>
      <c r="AA31" s="765"/>
      <c r="AB31" s="765"/>
      <c r="AC31" s="765"/>
      <c r="AD31" s="765"/>
      <c r="AE31" s="765"/>
      <c r="AF31" s="765"/>
      <c r="AG31" s="765"/>
    </row>
    <row r="32" spans="1:33" s="766" customFormat="1" ht="15.5" x14ac:dyDescent="0.35">
      <c r="A32" s="730">
        <f t="shared" si="1"/>
        <v>25</v>
      </c>
      <c r="B32" s="760" t="s">
        <v>1978</v>
      </c>
      <c r="C32" s="729" t="s">
        <v>1976</v>
      </c>
      <c r="D32" s="799">
        <v>1</v>
      </c>
      <c r="E32" s="762" t="s">
        <v>1900</v>
      </c>
      <c r="F32" s="799">
        <v>1</v>
      </c>
      <c r="G32" s="762" t="s">
        <v>1900</v>
      </c>
      <c r="H32" s="762" t="s">
        <v>1900</v>
      </c>
      <c r="I32" s="767"/>
      <c r="J32" s="777"/>
      <c r="K32" s="765"/>
      <c r="L32" s="765"/>
      <c r="M32" s="765"/>
      <c r="N32" s="765"/>
      <c r="O32" s="765"/>
      <c r="P32" s="765"/>
      <c r="Q32" s="765"/>
      <c r="R32" s="765"/>
      <c r="S32" s="765"/>
      <c r="T32" s="765"/>
      <c r="U32" s="765"/>
      <c r="V32" s="765"/>
      <c r="W32" s="765"/>
      <c r="X32" s="765"/>
      <c r="Y32" s="765"/>
      <c r="Z32" s="765"/>
      <c r="AA32" s="765"/>
      <c r="AB32" s="765"/>
      <c r="AC32" s="765"/>
      <c r="AD32" s="765"/>
      <c r="AE32" s="765"/>
      <c r="AF32" s="765"/>
      <c r="AG32" s="765"/>
    </row>
    <row r="33" spans="1:33" s="748" customFormat="1" ht="15" x14ac:dyDescent="0.25">
      <c r="A33" s="727" t="s">
        <v>1178</v>
      </c>
      <c r="B33" s="743" t="s">
        <v>1908</v>
      </c>
      <c r="C33" s="739"/>
      <c r="D33" s="739"/>
      <c r="E33" s="739"/>
      <c r="F33" s="739"/>
      <c r="G33" s="739"/>
      <c r="H33" s="740"/>
      <c r="I33" s="750"/>
      <c r="J33" s="747"/>
      <c r="K33" s="747"/>
      <c r="L33" s="747"/>
      <c r="M33" s="747"/>
      <c r="N33" s="747"/>
      <c r="O33" s="747"/>
      <c r="P33" s="747"/>
      <c r="Q33" s="747"/>
      <c r="R33" s="747"/>
      <c r="S33" s="747"/>
      <c r="T33" s="747"/>
      <c r="U33" s="747"/>
      <c r="V33" s="747"/>
      <c r="W33" s="747"/>
      <c r="X33" s="747"/>
      <c r="Y33" s="747"/>
      <c r="Z33" s="747"/>
      <c r="AA33" s="747"/>
      <c r="AB33" s="747"/>
      <c r="AC33" s="747"/>
      <c r="AD33" s="747"/>
      <c r="AE33" s="747"/>
      <c r="AF33" s="747"/>
      <c r="AG33" s="747"/>
    </row>
    <row r="34" spans="1:33" s="745" customFormat="1" ht="13" x14ac:dyDescent="0.25">
      <c r="A34" s="746" t="s">
        <v>1900</v>
      </c>
      <c r="B34" s="746" t="s">
        <v>1900</v>
      </c>
      <c r="C34" s="746" t="s">
        <v>1900</v>
      </c>
      <c r="D34" s="746" t="s">
        <v>1900</v>
      </c>
      <c r="E34" s="746" t="s">
        <v>1900</v>
      </c>
      <c r="F34" s="746" t="s">
        <v>1900</v>
      </c>
      <c r="G34" s="746" t="s">
        <v>1900</v>
      </c>
      <c r="H34" s="746" t="s">
        <v>1900</v>
      </c>
      <c r="I34" s="749"/>
    </row>
    <row r="35" spans="1:33" s="629" customFormat="1" ht="12.5" x14ac:dyDescent="0.25">
      <c r="A35" s="669"/>
      <c r="B35" s="680"/>
      <c r="C35" s="627"/>
      <c r="D35" s="669"/>
      <c r="E35" s="691"/>
      <c r="F35" s="721"/>
      <c r="G35" s="627"/>
      <c r="H35" s="627"/>
      <c r="I35" s="691"/>
    </row>
    <row r="36" spans="1:33" s="629" customFormat="1" ht="13" x14ac:dyDescent="0.3">
      <c r="A36" s="645"/>
      <c r="B36" s="832" t="s">
        <v>1889</v>
      </c>
      <c r="C36" s="832"/>
      <c r="D36" s="670"/>
      <c r="E36" s="693"/>
      <c r="F36" s="636"/>
      <c r="G36" s="636"/>
      <c r="H36" s="636"/>
      <c r="I36" s="691"/>
    </row>
    <row r="37" spans="1:33" s="629" customFormat="1" ht="13" x14ac:dyDescent="0.3">
      <c r="A37" s="645"/>
      <c r="B37" s="833" t="s">
        <v>1979</v>
      </c>
      <c r="C37" s="833"/>
      <c r="D37" s="833"/>
      <c r="E37" s="833"/>
      <c r="F37" s="833"/>
      <c r="G37" s="833"/>
      <c r="H37" s="833"/>
      <c r="I37" s="691"/>
    </row>
    <row r="38" spans="1:33" s="629" customFormat="1" x14ac:dyDescent="0.3">
      <c r="A38" s="645"/>
      <c r="B38" s="682"/>
      <c r="C38" s="637"/>
      <c r="D38" s="670"/>
      <c r="E38" s="693"/>
      <c r="F38" s="636"/>
      <c r="G38" s="636"/>
      <c r="H38" s="636"/>
      <c r="I38" s="691"/>
    </row>
    <row r="39" spans="1:33" s="629" customFormat="1" x14ac:dyDescent="0.3">
      <c r="A39" s="645"/>
      <c r="B39" s="682"/>
      <c r="C39" s="638"/>
      <c r="D39" s="670"/>
      <c r="E39" s="693"/>
      <c r="F39" s="636"/>
      <c r="G39" s="636"/>
      <c r="H39" s="636"/>
      <c r="I39" s="691"/>
    </row>
    <row r="40" spans="1:33" s="629" customFormat="1" x14ac:dyDescent="0.3">
      <c r="A40" s="645"/>
      <c r="B40" s="683" t="s">
        <v>1762</v>
      </c>
      <c r="C40" s="656"/>
      <c r="D40" s="671"/>
      <c r="E40" s="698"/>
      <c r="F40" s="722"/>
      <c r="G40" s="834" t="s">
        <v>1980</v>
      </c>
      <c r="H40" s="834"/>
      <c r="I40" s="691"/>
    </row>
    <row r="41" spans="1:33" s="629" customFormat="1" x14ac:dyDescent="0.3">
      <c r="A41" s="645"/>
      <c r="B41" s="684"/>
      <c r="C41" s="638"/>
      <c r="D41" s="670"/>
      <c r="E41" s="693"/>
      <c r="F41" s="636"/>
      <c r="G41" s="657"/>
      <c r="H41" s="657"/>
      <c r="I41" s="691"/>
    </row>
    <row r="42" spans="1:33" s="629" customFormat="1" x14ac:dyDescent="0.3">
      <c r="A42" s="645"/>
      <c r="B42" s="685" t="s">
        <v>1909</v>
      </c>
      <c r="C42" s="639"/>
      <c r="D42" s="672"/>
      <c r="E42" s="695"/>
      <c r="F42" s="723"/>
      <c r="G42" s="830" t="s">
        <v>1981</v>
      </c>
      <c r="H42" s="830"/>
      <c r="I42" s="691"/>
    </row>
    <row r="43" spans="1:33" s="629" customFormat="1" x14ac:dyDescent="0.3">
      <c r="A43" s="645"/>
      <c r="B43" s="685"/>
      <c r="C43" s="639"/>
      <c r="D43" s="672"/>
      <c r="E43" s="693"/>
      <c r="F43" s="636"/>
      <c r="G43" s="665"/>
      <c r="H43" s="659"/>
      <c r="I43" s="691"/>
    </row>
    <row r="44" spans="1:33" s="751" customFormat="1" x14ac:dyDescent="0.3">
      <c r="A44" s="645"/>
      <c r="B44" s="687" t="s">
        <v>1896</v>
      </c>
      <c r="C44" s="639"/>
      <c r="D44" s="672"/>
      <c r="E44" s="695"/>
      <c r="F44" s="723"/>
      <c r="G44" s="831" t="s">
        <v>1946</v>
      </c>
      <c r="H44" s="831"/>
      <c r="I44" s="752"/>
    </row>
    <row r="45" spans="1:33" s="751" customFormat="1" x14ac:dyDescent="0.3">
      <c r="A45" s="645"/>
      <c r="B45" s="685"/>
      <c r="C45" s="639"/>
      <c r="D45" s="672"/>
      <c r="E45" s="693"/>
      <c r="F45" s="636"/>
      <c r="G45" s="785"/>
      <c r="H45" s="659"/>
      <c r="I45" s="752"/>
    </row>
    <row r="46" spans="1:33" s="629" customFormat="1" x14ac:dyDescent="0.3">
      <c r="A46" s="645"/>
      <c r="B46" s="687" t="s">
        <v>1895</v>
      </c>
      <c r="C46" s="639"/>
      <c r="D46" s="672"/>
      <c r="E46" s="695"/>
      <c r="F46" s="723"/>
      <c r="G46" s="830" t="s">
        <v>1982</v>
      </c>
      <c r="H46" s="830"/>
      <c r="I46" s="691"/>
    </row>
    <row r="47" spans="1:33" s="629" customFormat="1" x14ac:dyDescent="0.3">
      <c r="A47" s="645"/>
      <c r="B47" s="686"/>
      <c r="C47" s="639"/>
      <c r="D47" s="672"/>
      <c r="E47" s="693"/>
      <c r="F47" s="636"/>
      <c r="G47" s="658"/>
      <c r="H47" s="658"/>
      <c r="I47" s="691"/>
    </row>
    <row r="48" spans="1:33" s="629" customFormat="1" x14ac:dyDescent="0.3">
      <c r="A48" s="645"/>
      <c r="B48" s="687" t="s">
        <v>1898</v>
      </c>
      <c r="C48" s="639"/>
      <c r="D48" s="672"/>
      <c r="E48" s="695"/>
      <c r="F48" s="723"/>
      <c r="G48" s="831" t="s">
        <v>1948</v>
      </c>
      <c r="H48" s="831"/>
      <c r="I48" s="691"/>
    </row>
    <row r="49" spans="1:9" s="629" customFormat="1" ht="13" x14ac:dyDescent="0.3">
      <c r="A49" s="645"/>
      <c r="B49" s="688"/>
      <c r="C49" s="635"/>
      <c r="D49" s="670"/>
      <c r="E49" s="693"/>
      <c r="F49" s="636"/>
      <c r="G49" s="636"/>
      <c r="H49" s="636"/>
      <c r="I49" s="691"/>
    </row>
    <row r="50" spans="1:9" s="629" customFormat="1" ht="13" x14ac:dyDescent="0.3">
      <c r="A50" s="645"/>
      <c r="B50" s="688"/>
      <c r="C50" s="635"/>
      <c r="D50" s="670"/>
      <c r="E50" s="693"/>
      <c r="F50" s="636"/>
      <c r="G50" s="636"/>
      <c r="H50" s="636"/>
      <c r="I50" s="691"/>
    </row>
    <row r="51" spans="1:9" s="629" customFormat="1" ht="13" x14ac:dyDescent="0.3">
      <c r="A51" s="645"/>
      <c r="B51" s="688"/>
      <c r="C51" s="635"/>
      <c r="D51" s="670"/>
      <c r="E51" s="696"/>
      <c r="F51" s="636"/>
      <c r="G51" s="636"/>
      <c r="H51" s="636"/>
      <c r="I51" s="691"/>
    </row>
    <row r="52" spans="1:9" s="629" customFormat="1" ht="13" x14ac:dyDescent="0.3">
      <c r="A52" s="645"/>
      <c r="B52" s="688"/>
      <c r="C52" s="635"/>
      <c r="D52" s="670"/>
      <c r="E52" s="693"/>
      <c r="F52" s="724"/>
      <c r="G52" s="636"/>
      <c r="H52" s="636"/>
      <c r="I52" s="691"/>
    </row>
    <row r="53" spans="1:9" s="629" customFormat="1" ht="13" x14ac:dyDescent="0.3">
      <c r="A53" s="645"/>
      <c r="B53" s="688"/>
      <c r="C53" s="635"/>
      <c r="D53" s="670"/>
      <c r="E53" s="693"/>
      <c r="F53" s="724"/>
      <c r="G53" s="636"/>
      <c r="H53" s="636"/>
      <c r="I53" s="691"/>
    </row>
    <row r="54" spans="1:9" s="629" customFormat="1" ht="13" x14ac:dyDescent="0.3">
      <c r="A54" s="645"/>
      <c r="B54" s="688"/>
      <c r="C54" s="635"/>
      <c r="D54" s="670"/>
      <c r="E54" s="693"/>
      <c r="F54" s="725"/>
      <c r="G54" s="636"/>
      <c r="H54" s="636"/>
      <c r="I54" s="691"/>
    </row>
    <row r="55" spans="1:9" s="629" customFormat="1" ht="13" x14ac:dyDescent="0.3">
      <c r="A55" s="645"/>
      <c r="B55" s="688"/>
      <c r="C55" s="635"/>
      <c r="D55" s="670"/>
      <c r="E55" s="693"/>
      <c r="F55" s="636"/>
      <c r="G55" s="636"/>
      <c r="H55" s="636"/>
      <c r="I55" s="691"/>
    </row>
    <row r="56" spans="1:9" s="629" customFormat="1" ht="13" x14ac:dyDescent="0.3">
      <c r="A56" s="645"/>
      <c r="B56" s="688"/>
      <c r="C56" s="635"/>
      <c r="D56" s="670"/>
      <c r="E56" s="693"/>
      <c r="F56" s="726"/>
      <c r="G56" s="636"/>
      <c r="H56" s="636"/>
      <c r="I56" s="691"/>
    </row>
    <row r="57" spans="1:9" s="629" customFormat="1" ht="13" x14ac:dyDescent="0.3">
      <c r="A57" s="645"/>
      <c r="B57" s="688"/>
      <c r="C57" s="635"/>
      <c r="D57" s="670"/>
      <c r="E57" s="693"/>
      <c r="F57" s="636"/>
      <c r="G57" s="636"/>
      <c r="H57" s="636"/>
      <c r="I57" s="691"/>
    </row>
    <row r="58" spans="1:9" s="629" customFormat="1" ht="13" x14ac:dyDescent="0.3">
      <c r="A58" s="645"/>
      <c r="B58" s="688"/>
      <c r="C58" s="635"/>
      <c r="D58" s="670"/>
      <c r="E58" s="693"/>
      <c r="F58" s="726"/>
      <c r="G58" s="636"/>
      <c r="H58" s="636"/>
      <c r="I58" s="691"/>
    </row>
    <row r="59" spans="1:9" s="629" customFormat="1" ht="13" x14ac:dyDescent="0.3">
      <c r="A59" s="645"/>
      <c r="B59" s="688"/>
      <c r="C59" s="635"/>
      <c r="D59" s="670"/>
      <c r="E59" s="693"/>
      <c r="F59" s="636"/>
      <c r="G59" s="636"/>
      <c r="H59" s="636"/>
      <c r="I59" s="691"/>
    </row>
    <row r="60" spans="1:9" s="629" customFormat="1" ht="13" x14ac:dyDescent="0.3">
      <c r="A60" s="645"/>
      <c r="B60" s="688"/>
      <c r="C60" s="635"/>
      <c r="D60" s="670"/>
      <c r="E60" s="693"/>
      <c r="F60" s="636"/>
      <c r="G60" s="636"/>
      <c r="H60" s="636"/>
      <c r="I60" s="691"/>
    </row>
    <row r="61" spans="1:9" s="629" customFormat="1" ht="13" x14ac:dyDescent="0.3">
      <c r="A61" s="645"/>
      <c r="B61" s="688"/>
      <c r="C61" s="635"/>
      <c r="D61" s="670"/>
      <c r="E61" s="693"/>
      <c r="F61" s="636"/>
      <c r="G61" s="636"/>
      <c r="H61" s="636"/>
      <c r="I61" s="691"/>
    </row>
    <row r="62" spans="1:9" s="629" customFormat="1" ht="13" x14ac:dyDescent="0.3">
      <c r="A62" s="645"/>
      <c r="B62" s="688"/>
      <c r="C62" s="635"/>
      <c r="D62" s="670"/>
      <c r="E62" s="693"/>
      <c r="F62" s="636"/>
      <c r="G62" s="636"/>
      <c r="H62" s="636"/>
      <c r="I62" s="691"/>
    </row>
    <row r="63" spans="1:9" s="629" customFormat="1" ht="13" x14ac:dyDescent="0.3">
      <c r="A63" s="645"/>
      <c r="B63" s="688"/>
      <c r="C63" s="635"/>
      <c r="D63" s="670"/>
      <c r="E63" s="693"/>
      <c r="F63" s="636"/>
      <c r="G63" s="636"/>
      <c r="H63" s="636"/>
      <c r="I63" s="691"/>
    </row>
    <row r="64" spans="1:9" s="629" customFormat="1" ht="13" x14ac:dyDescent="0.3">
      <c r="A64" s="645"/>
      <c r="B64" s="688"/>
      <c r="C64" s="635"/>
      <c r="D64" s="670"/>
      <c r="E64" s="693"/>
      <c r="F64" s="636"/>
      <c r="G64" s="636"/>
      <c r="H64" s="636"/>
      <c r="I64" s="691"/>
    </row>
    <row r="65" spans="1:9" s="629" customFormat="1" ht="13" x14ac:dyDescent="0.3">
      <c r="A65" s="645"/>
      <c r="B65" s="688"/>
      <c r="C65" s="635"/>
      <c r="D65" s="670"/>
      <c r="E65" s="693"/>
      <c r="F65" s="636"/>
      <c r="G65" s="636"/>
      <c r="H65" s="636"/>
      <c r="I65" s="691"/>
    </row>
    <row r="66" spans="1:9" s="629" customFormat="1" ht="13" x14ac:dyDescent="0.3">
      <c r="A66" s="645"/>
      <c r="B66" s="688"/>
      <c r="C66" s="635"/>
      <c r="D66" s="670"/>
      <c r="E66" s="693"/>
      <c r="F66" s="636"/>
      <c r="G66" s="636"/>
      <c r="H66" s="636"/>
      <c r="I66" s="691"/>
    </row>
    <row r="67" spans="1:9" s="629" customFormat="1" ht="13" x14ac:dyDescent="0.3">
      <c r="A67" s="645"/>
      <c r="B67" s="688"/>
      <c r="C67" s="635"/>
      <c r="D67" s="670"/>
      <c r="E67" s="693"/>
      <c r="F67" s="636"/>
      <c r="G67" s="636"/>
      <c r="H67" s="636"/>
      <c r="I67" s="691"/>
    </row>
    <row r="68" spans="1:9" s="629" customFormat="1" ht="13" x14ac:dyDescent="0.3">
      <c r="A68" s="646"/>
      <c r="B68" s="689"/>
      <c r="C68" s="630"/>
      <c r="D68" s="673"/>
      <c r="E68" s="697"/>
      <c r="F68" s="631"/>
      <c r="G68" s="631"/>
      <c r="H68" s="631"/>
      <c r="I68" s="691"/>
    </row>
    <row r="69" spans="1:9" s="629" customFormat="1" ht="13" x14ac:dyDescent="0.3">
      <c r="A69" s="646"/>
      <c r="B69" s="689"/>
      <c r="C69" s="630"/>
      <c r="D69" s="673"/>
      <c r="E69" s="697"/>
      <c r="F69" s="631"/>
      <c r="G69" s="631"/>
      <c r="H69" s="631"/>
      <c r="I69" s="691"/>
    </row>
    <row r="70" spans="1:9" s="629" customFormat="1" ht="13" x14ac:dyDescent="0.3">
      <c r="A70" s="646"/>
      <c r="B70" s="689"/>
      <c r="C70" s="630"/>
      <c r="D70" s="673"/>
      <c r="E70" s="697"/>
      <c r="F70" s="631"/>
      <c r="G70" s="631"/>
      <c r="H70" s="631"/>
      <c r="I70" s="691"/>
    </row>
    <row r="71" spans="1:9" s="629" customFormat="1" ht="13" x14ac:dyDescent="0.3">
      <c r="A71" s="646"/>
      <c r="B71" s="689"/>
      <c r="C71" s="630"/>
      <c r="D71" s="673"/>
      <c r="E71" s="697"/>
      <c r="F71" s="631"/>
      <c r="G71" s="631"/>
      <c r="H71" s="631"/>
      <c r="I71" s="691"/>
    </row>
    <row r="72" spans="1:9" s="629" customFormat="1" ht="13" x14ac:dyDescent="0.3">
      <c r="A72" s="646"/>
      <c r="B72" s="689"/>
      <c r="C72" s="630"/>
      <c r="D72" s="673"/>
      <c r="E72" s="697"/>
      <c r="F72" s="631"/>
      <c r="G72" s="631"/>
      <c r="H72" s="631"/>
      <c r="I72" s="691"/>
    </row>
    <row r="73" spans="1:9" s="629" customFormat="1" ht="13" x14ac:dyDescent="0.3">
      <c r="A73" s="646"/>
      <c r="B73" s="689"/>
      <c r="C73" s="630"/>
      <c r="D73" s="673"/>
      <c r="E73" s="697"/>
      <c r="F73" s="631"/>
      <c r="G73" s="631"/>
      <c r="H73" s="631"/>
      <c r="I73" s="691"/>
    </row>
    <row r="74" spans="1:9" s="629" customFormat="1" ht="13" x14ac:dyDescent="0.3">
      <c r="A74" s="646"/>
      <c r="B74" s="689"/>
      <c r="C74" s="630"/>
      <c r="D74" s="673"/>
      <c r="E74" s="697"/>
      <c r="F74" s="631"/>
      <c r="G74" s="631"/>
      <c r="H74" s="631"/>
      <c r="I74" s="691"/>
    </row>
    <row r="75" spans="1:9" s="629" customFormat="1" ht="13" x14ac:dyDescent="0.3">
      <c r="A75" s="646"/>
      <c r="B75" s="689"/>
      <c r="C75" s="630"/>
      <c r="D75" s="673"/>
      <c r="E75" s="697"/>
      <c r="F75" s="631"/>
      <c r="G75" s="631"/>
      <c r="H75" s="631"/>
      <c r="I75" s="691"/>
    </row>
    <row r="76" spans="1:9" s="629" customFormat="1" ht="13" x14ac:dyDescent="0.3">
      <c r="A76" s="646"/>
      <c r="B76" s="689"/>
      <c r="C76" s="630"/>
      <c r="D76" s="673"/>
      <c r="E76" s="697"/>
      <c r="F76" s="631"/>
      <c r="G76" s="631"/>
      <c r="H76" s="631"/>
      <c r="I76" s="691"/>
    </row>
    <row r="77" spans="1:9" s="629" customFormat="1" ht="13" x14ac:dyDescent="0.3">
      <c r="A77" s="646"/>
      <c r="B77" s="689"/>
      <c r="C77" s="630"/>
      <c r="D77" s="673"/>
      <c r="E77" s="697"/>
      <c r="F77" s="631"/>
      <c r="G77" s="631"/>
      <c r="H77" s="631"/>
      <c r="I77" s="691"/>
    </row>
    <row r="78" spans="1:9" s="629" customFormat="1" ht="13" x14ac:dyDescent="0.3">
      <c r="A78" s="646"/>
      <c r="B78" s="689"/>
      <c r="C78" s="630"/>
      <c r="D78" s="673"/>
      <c r="E78" s="697"/>
      <c r="F78" s="631"/>
      <c r="G78" s="631"/>
      <c r="H78" s="631"/>
      <c r="I78" s="691"/>
    </row>
    <row r="79" spans="1:9" s="629" customFormat="1" ht="13" x14ac:dyDescent="0.3">
      <c r="A79" s="646"/>
      <c r="B79" s="689"/>
      <c r="C79" s="630"/>
      <c r="D79" s="673"/>
      <c r="E79" s="697"/>
      <c r="F79" s="631"/>
      <c r="G79" s="631"/>
      <c r="H79" s="631"/>
      <c r="I79" s="691"/>
    </row>
    <row r="80" spans="1:9" s="629" customFormat="1" ht="13" x14ac:dyDescent="0.3">
      <c r="A80" s="646"/>
      <c r="B80" s="689"/>
      <c r="C80" s="630"/>
      <c r="D80" s="673"/>
      <c r="E80" s="697"/>
      <c r="F80" s="631"/>
      <c r="G80" s="631"/>
      <c r="H80" s="631"/>
      <c r="I80" s="691"/>
    </row>
    <row r="81" spans="1:9" s="629" customFormat="1" ht="13" x14ac:dyDescent="0.3">
      <c r="A81" s="646"/>
      <c r="B81" s="689"/>
      <c r="C81" s="630"/>
      <c r="D81" s="673"/>
      <c r="E81" s="697"/>
      <c r="F81" s="631"/>
      <c r="G81" s="631"/>
      <c r="H81" s="631"/>
      <c r="I81" s="691"/>
    </row>
    <row r="82" spans="1:9" s="629" customFormat="1" ht="13" x14ac:dyDescent="0.3">
      <c r="A82" s="646"/>
      <c r="B82" s="689"/>
      <c r="C82" s="630"/>
      <c r="D82" s="673"/>
      <c r="E82" s="697"/>
      <c r="F82" s="631"/>
      <c r="G82" s="631"/>
      <c r="H82" s="631"/>
      <c r="I82" s="691"/>
    </row>
    <row r="83" spans="1:9" s="629" customFormat="1" ht="13" x14ac:dyDescent="0.3">
      <c r="A83" s="646"/>
      <c r="B83" s="689"/>
      <c r="C83" s="630"/>
      <c r="D83" s="673"/>
      <c r="E83" s="697"/>
      <c r="F83" s="631"/>
      <c r="G83" s="631"/>
      <c r="H83" s="631"/>
      <c r="I83" s="691"/>
    </row>
    <row r="84" spans="1:9" s="629" customFormat="1" ht="13" x14ac:dyDescent="0.3">
      <c r="A84" s="646"/>
      <c r="B84" s="689"/>
      <c r="C84" s="630"/>
      <c r="D84" s="673"/>
      <c r="E84" s="697"/>
      <c r="F84" s="631"/>
      <c r="G84" s="631"/>
      <c r="H84" s="631"/>
      <c r="I84" s="691"/>
    </row>
    <row r="85" spans="1:9" s="629" customFormat="1" ht="13" x14ac:dyDescent="0.3">
      <c r="A85" s="646"/>
      <c r="B85" s="689"/>
      <c r="C85" s="630"/>
      <c r="D85" s="673"/>
      <c r="E85" s="697"/>
      <c r="F85" s="631"/>
      <c r="G85" s="631"/>
      <c r="H85" s="631"/>
      <c r="I85" s="691"/>
    </row>
    <row r="86" spans="1:9" s="629" customFormat="1" ht="13" x14ac:dyDescent="0.3">
      <c r="A86" s="646"/>
      <c r="B86" s="689"/>
      <c r="C86" s="630"/>
      <c r="D86" s="673"/>
      <c r="E86" s="697"/>
      <c r="F86" s="631"/>
      <c r="G86" s="631"/>
      <c r="H86" s="631"/>
      <c r="I86" s="691"/>
    </row>
    <row r="87" spans="1:9" s="629" customFormat="1" ht="13" x14ac:dyDescent="0.3">
      <c r="A87" s="646"/>
      <c r="B87" s="689"/>
      <c r="C87" s="630"/>
      <c r="D87" s="673"/>
      <c r="E87" s="697"/>
      <c r="F87" s="631"/>
      <c r="G87" s="631"/>
      <c r="H87" s="631"/>
      <c r="I87" s="691"/>
    </row>
    <row r="88" spans="1:9" s="629" customFormat="1" ht="13" x14ac:dyDescent="0.3">
      <c r="A88" s="646"/>
      <c r="B88" s="689"/>
      <c r="C88" s="630"/>
      <c r="D88" s="673"/>
      <c r="E88" s="697"/>
      <c r="F88" s="631"/>
      <c r="G88" s="631"/>
      <c r="H88" s="631"/>
      <c r="I88" s="691"/>
    </row>
    <row r="89" spans="1:9" s="629" customFormat="1" ht="13" x14ac:dyDescent="0.3">
      <c r="A89" s="646"/>
      <c r="B89" s="689"/>
      <c r="C89" s="630"/>
      <c r="D89" s="673"/>
      <c r="E89" s="697"/>
      <c r="F89" s="631"/>
      <c r="G89" s="631"/>
      <c r="H89" s="631"/>
      <c r="I89" s="691"/>
    </row>
    <row r="90" spans="1:9" s="629" customFormat="1" ht="13" x14ac:dyDescent="0.3">
      <c r="A90" s="646"/>
      <c r="B90" s="689"/>
      <c r="C90" s="630"/>
      <c r="D90" s="673"/>
      <c r="E90" s="697"/>
      <c r="F90" s="631"/>
      <c r="G90" s="631"/>
      <c r="H90" s="631"/>
      <c r="I90" s="691"/>
    </row>
    <row r="91" spans="1:9" s="629" customFormat="1" ht="13" x14ac:dyDescent="0.3">
      <c r="A91" s="646"/>
      <c r="B91" s="689"/>
      <c r="C91" s="630"/>
      <c r="D91" s="673"/>
      <c r="E91" s="697"/>
      <c r="F91" s="631"/>
      <c r="G91" s="631"/>
      <c r="H91" s="631"/>
      <c r="I91" s="691"/>
    </row>
    <row r="92" spans="1:9" s="629" customFormat="1" ht="13" x14ac:dyDescent="0.3">
      <c r="A92" s="646"/>
      <c r="B92" s="689"/>
      <c r="C92" s="630"/>
      <c r="D92" s="673"/>
      <c r="E92" s="697"/>
      <c r="F92" s="631"/>
      <c r="G92" s="631"/>
      <c r="H92" s="631"/>
      <c r="I92" s="691"/>
    </row>
    <row r="93" spans="1:9" s="629" customFormat="1" ht="13" x14ac:dyDescent="0.3">
      <c r="A93" s="646"/>
      <c r="B93" s="689"/>
      <c r="C93" s="630"/>
      <c r="D93" s="673"/>
      <c r="E93" s="697"/>
      <c r="F93" s="631"/>
      <c r="G93" s="631"/>
      <c r="H93" s="631"/>
      <c r="I93" s="691"/>
    </row>
    <row r="94" spans="1:9" s="629" customFormat="1" ht="13" x14ac:dyDescent="0.3">
      <c r="A94" s="646"/>
      <c r="B94" s="689"/>
      <c r="C94" s="630"/>
      <c r="D94" s="673"/>
      <c r="E94" s="697"/>
      <c r="F94" s="631"/>
      <c r="G94" s="631"/>
      <c r="H94" s="631"/>
      <c r="I94" s="691"/>
    </row>
    <row r="95" spans="1:9" s="629" customFormat="1" ht="13" x14ac:dyDescent="0.3">
      <c r="A95" s="646"/>
      <c r="B95" s="689"/>
      <c r="C95" s="630"/>
      <c r="D95" s="673"/>
      <c r="E95" s="697"/>
      <c r="F95" s="631"/>
      <c r="G95" s="631"/>
      <c r="H95" s="631"/>
      <c r="I95" s="691"/>
    </row>
    <row r="96" spans="1:9" s="629" customFormat="1" ht="13" x14ac:dyDescent="0.3">
      <c r="A96" s="646"/>
      <c r="B96" s="689"/>
      <c r="C96" s="630"/>
      <c r="D96" s="673"/>
      <c r="E96" s="697"/>
      <c r="F96" s="631"/>
      <c r="G96" s="631"/>
      <c r="H96" s="631"/>
      <c r="I96" s="691"/>
    </row>
    <row r="97" spans="1:9" s="629" customFormat="1" ht="13" x14ac:dyDescent="0.3">
      <c r="A97" s="646"/>
      <c r="B97" s="689"/>
      <c r="C97" s="630"/>
      <c r="D97" s="673"/>
      <c r="E97" s="697"/>
      <c r="F97" s="631"/>
      <c r="G97" s="631"/>
      <c r="H97" s="631"/>
      <c r="I97" s="691"/>
    </row>
    <row r="98" spans="1:9" s="629" customFormat="1" ht="13" x14ac:dyDescent="0.3">
      <c r="A98" s="646"/>
      <c r="B98" s="689"/>
      <c r="C98" s="630"/>
      <c r="D98" s="673"/>
      <c r="E98" s="697"/>
      <c r="F98" s="631"/>
      <c r="G98" s="631"/>
      <c r="H98" s="631"/>
      <c r="I98" s="691"/>
    </row>
    <row r="99" spans="1:9" s="629" customFormat="1" ht="13" x14ac:dyDescent="0.3">
      <c r="A99" s="646"/>
      <c r="B99" s="689"/>
      <c r="C99" s="630"/>
      <c r="D99" s="673"/>
      <c r="E99" s="697"/>
      <c r="F99" s="631"/>
      <c r="G99" s="631"/>
      <c r="H99" s="631"/>
      <c r="I99" s="691"/>
    </row>
    <row r="100" spans="1:9" s="629" customFormat="1" ht="13" x14ac:dyDescent="0.3">
      <c r="A100" s="646"/>
      <c r="B100" s="689"/>
      <c r="C100" s="630"/>
      <c r="D100" s="673"/>
      <c r="E100" s="697"/>
      <c r="F100" s="631"/>
      <c r="G100" s="631"/>
      <c r="H100" s="631"/>
      <c r="I100" s="691"/>
    </row>
    <row r="101" spans="1:9" s="629" customFormat="1" ht="13" x14ac:dyDescent="0.3">
      <c r="A101" s="646"/>
      <c r="B101" s="689"/>
      <c r="C101" s="630"/>
      <c r="D101" s="673"/>
      <c r="E101" s="697"/>
      <c r="F101" s="631"/>
      <c r="G101" s="631"/>
      <c r="H101" s="631"/>
      <c r="I101" s="691"/>
    </row>
    <row r="102" spans="1:9" s="629" customFormat="1" ht="13" x14ac:dyDescent="0.3">
      <c r="A102" s="646"/>
      <c r="B102" s="689"/>
      <c r="C102" s="630"/>
      <c r="D102" s="673"/>
      <c r="E102" s="697"/>
      <c r="F102" s="631"/>
      <c r="G102" s="631"/>
      <c r="H102" s="631"/>
      <c r="I102" s="691"/>
    </row>
    <row r="103" spans="1:9" s="629" customFormat="1" ht="13" x14ac:dyDescent="0.3">
      <c r="A103" s="646"/>
      <c r="B103" s="689"/>
      <c r="C103" s="630"/>
      <c r="D103" s="673"/>
      <c r="E103" s="697"/>
      <c r="F103" s="631"/>
      <c r="G103" s="631"/>
      <c r="H103" s="631"/>
      <c r="I103" s="691"/>
    </row>
    <row r="104" spans="1:9" s="629" customFormat="1" ht="13" x14ac:dyDescent="0.3">
      <c r="A104" s="646"/>
      <c r="B104" s="689"/>
      <c r="C104" s="630"/>
      <c r="D104" s="673"/>
      <c r="E104" s="697"/>
      <c r="F104" s="631"/>
      <c r="G104" s="631"/>
      <c r="H104" s="631"/>
      <c r="I104" s="691"/>
    </row>
    <row r="105" spans="1:9" s="629" customFormat="1" ht="13" x14ac:dyDescent="0.3">
      <c r="A105" s="646"/>
      <c r="B105" s="689"/>
      <c r="C105" s="630"/>
      <c r="D105" s="673"/>
      <c r="E105" s="697"/>
      <c r="F105" s="631"/>
      <c r="G105" s="631"/>
      <c r="H105" s="631"/>
      <c r="I105" s="691"/>
    </row>
    <row r="106" spans="1:9" s="629" customFormat="1" ht="13" x14ac:dyDescent="0.3">
      <c r="A106" s="646"/>
      <c r="B106" s="689"/>
      <c r="C106" s="630"/>
      <c r="D106" s="673"/>
      <c r="E106" s="697"/>
      <c r="F106" s="631"/>
      <c r="G106" s="631"/>
      <c r="H106" s="631"/>
      <c r="I106" s="691"/>
    </row>
    <row r="107" spans="1:9" s="629" customFormat="1" ht="13" x14ac:dyDescent="0.3">
      <c r="A107" s="646"/>
      <c r="B107" s="689"/>
      <c r="C107" s="630"/>
      <c r="D107" s="673"/>
      <c r="E107" s="697"/>
      <c r="F107" s="631"/>
      <c r="G107" s="631"/>
      <c r="H107" s="631"/>
      <c r="I107" s="691"/>
    </row>
    <row r="108" spans="1:9" s="629" customFormat="1" ht="13" x14ac:dyDescent="0.3">
      <c r="A108" s="646"/>
      <c r="B108" s="689"/>
      <c r="C108" s="630"/>
      <c r="D108" s="673"/>
      <c r="E108" s="697"/>
      <c r="F108" s="631"/>
      <c r="G108" s="631"/>
      <c r="H108" s="631"/>
      <c r="I108" s="691"/>
    </row>
    <row r="109" spans="1:9" s="629" customFormat="1" ht="13" x14ac:dyDescent="0.3">
      <c r="A109" s="646"/>
      <c r="B109" s="689"/>
      <c r="C109" s="630"/>
      <c r="D109" s="673"/>
      <c r="E109" s="697"/>
      <c r="F109" s="631"/>
      <c r="G109" s="631"/>
      <c r="H109" s="631"/>
      <c r="I109" s="691"/>
    </row>
    <row r="110" spans="1:9" s="629" customFormat="1" ht="13" x14ac:dyDescent="0.3">
      <c r="A110" s="646"/>
      <c r="B110" s="689"/>
      <c r="C110" s="630"/>
      <c r="D110" s="673"/>
      <c r="E110" s="697"/>
      <c r="F110" s="631"/>
      <c r="G110" s="631"/>
      <c r="H110" s="631"/>
      <c r="I110" s="691"/>
    </row>
    <row r="111" spans="1:9" s="629" customFormat="1" ht="13" x14ac:dyDescent="0.3">
      <c r="A111" s="646"/>
      <c r="B111" s="689"/>
      <c r="C111" s="630"/>
      <c r="D111" s="673"/>
      <c r="E111" s="697"/>
      <c r="F111" s="631"/>
      <c r="G111" s="631"/>
      <c r="H111" s="631"/>
      <c r="I111" s="691"/>
    </row>
    <row r="112" spans="1:9" s="629" customFormat="1" ht="13" x14ac:dyDescent="0.3">
      <c r="A112" s="646"/>
      <c r="B112" s="689"/>
      <c r="C112" s="630"/>
      <c r="D112" s="673"/>
      <c r="E112" s="697"/>
      <c r="F112" s="631"/>
      <c r="G112" s="631"/>
      <c r="H112" s="631"/>
      <c r="I112" s="691"/>
    </row>
    <row r="113" spans="1:9" s="629" customFormat="1" ht="13" x14ac:dyDescent="0.3">
      <c r="A113" s="646"/>
      <c r="B113" s="689"/>
      <c r="C113" s="630"/>
      <c r="D113" s="673"/>
      <c r="E113" s="697"/>
      <c r="F113" s="631"/>
      <c r="G113" s="631"/>
      <c r="H113" s="631"/>
      <c r="I113" s="691"/>
    </row>
    <row r="114" spans="1:9" s="629" customFormat="1" ht="13" x14ac:dyDescent="0.3">
      <c r="A114" s="646"/>
      <c r="B114" s="689"/>
      <c r="C114" s="630"/>
      <c r="D114" s="673"/>
      <c r="E114" s="697"/>
      <c r="F114" s="631"/>
      <c r="G114" s="631"/>
      <c r="H114" s="631"/>
      <c r="I114" s="691"/>
    </row>
    <row r="115" spans="1:9" s="629" customFormat="1" ht="13" x14ac:dyDescent="0.3">
      <c r="A115" s="646"/>
      <c r="B115" s="689"/>
      <c r="C115" s="630"/>
      <c r="D115" s="673"/>
      <c r="E115" s="697"/>
      <c r="F115" s="631"/>
      <c r="G115" s="631"/>
      <c r="H115" s="631"/>
      <c r="I115" s="691"/>
    </row>
    <row r="116" spans="1:9" s="629" customFormat="1" ht="13" x14ac:dyDescent="0.3">
      <c r="A116" s="646"/>
      <c r="B116" s="689"/>
      <c r="C116" s="630"/>
      <c r="D116" s="673"/>
      <c r="E116" s="697"/>
      <c r="F116" s="631"/>
      <c r="G116" s="631"/>
      <c r="H116" s="631"/>
      <c r="I116" s="691"/>
    </row>
    <row r="117" spans="1:9" s="629" customFormat="1" ht="13" x14ac:dyDescent="0.3">
      <c r="A117" s="646"/>
      <c r="B117" s="689"/>
      <c r="C117" s="630"/>
      <c r="D117" s="673"/>
      <c r="E117" s="697"/>
      <c r="F117" s="631"/>
      <c r="G117" s="631"/>
      <c r="H117" s="631"/>
      <c r="I117" s="691"/>
    </row>
    <row r="118" spans="1:9" s="629" customFormat="1" ht="13" x14ac:dyDescent="0.3">
      <c r="A118" s="646"/>
      <c r="B118" s="689"/>
      <c r="C118" s="630"/>
      <c r="D118" s="673"/>
      <c r="E118" s="697"/>
      <c r="F118" s="631"/>
      <c r="G118" s="631"/>
      <c r="H118" s="631"/>
      <c r="I118" s="691"/>
    </row>
    <row r="119" spans="1:9" s="629" customFormat="1" ht="13" x14ac:dyDescent="0.3">
      <c r="A119" s="646"/>
      <c r="B119" s="689"/>
      <c r="C119" s="630"/>
      <c r="D119" s="673"/>
      <c r="E119" s="697"/>
      <c r="F119" s="631"/>
      <c r="G119" s="631"/>
      <c r="H119" s="631"/>
      <c r="I119" s="691"/>
    </row>
    <row r="120" spans="1:9" s="629" customFormat="1" ht="13" x14ac:dyDescent="0.3">
      <c r="A120" s="646"/>
      <c r="B120" s="689"/>
      <c r="C120" s="630"/>
      <c r="D120" s="673"/>
      <c r="E120" s="697"/>
      <c r="F120" s="631"/>
      <c r="G120" s="631"/>
      <c r="H120" s="631"/>
      <c r="I120" s="691"/>
    </row>
    <row r="121" spans="1:9" s="629" customFormat="1" ht="13" x14ac:dyDescent="0.3">
      <c r="A121" s="646"/>
      <c r="B121" s="689"/>
      <c r="C121" s="630"/>
      <c r="D121" s="673"/>
      <c r="E121" s="697"/>
      <c r="F121" s="631"/>
      <c r="G121" s="631"/>
      <c r="H121" s="631"/>
      <c r="I121" s="691"/>
    </row>
    <row r="122" spans="1:9" s="629" customFormat="1" ht="13" x14ac:dyDescent="0.3">
      <c r="A122" s="646"/>
      <c r="B122" s="689"/>
      <c r="C122" s="630"/>
      <c r="D122" s="673"/>
      <c r="E122" s="697"/>
      <c r="F122" s="631"/>
      <c r="G122" s="631"/>
      <c r="H122" s="631"/>
      <c r="I122" s="691"/>
    </row>
    <row r="123" spans="1:9" s="629" customFormat="1" ht="13" x14ac:dyDescent="0.3">
      <c r="A123" s="646"/>
      <c r="B123" s="689"/>
      <c r="C123" s="630"/>
      <c r="D123" s="673"/>
      <c r="E123" s="697"/>
      <c r="F123" s="631"/>
      <c r="G123" s="631"/>
      <c r="H123" s="631"/>
      <c r="I123" s="691"/>
    </row>
    <row r="124" spans="1:9" s="629" customFormat="1" ht="13" x14ac:dyDescent="0.3">
      <c r="A124" s="646"/>
      <c r="B124" s="689"/>
      <c r="C124" s="630"/>
      <c r="D124" s="673"/>
      <c r="E124" s="697"/>
      <c r="F124" s="631"/>
      <c r="G124" s="631"/>
      <c r="H124" s="631"/>
      <c r="I124" s="691"/>
    </row>
    <row r="125" spans="1:9" s="629" customFormat="1" ht="13" x14ac:dyDescent="0.3">
      <c r="A125" s="646"/>
      <c r="B125" s="689"/>
      <c r="C125" s="630"/>
      <c r="D125" s="673"/>
      <c r="E125" s="697"/>
      <c r="F125" s="631"/>
      <c r="G125" s="631"/>
      <c r="H125" s="631"/>
      <c r="I125" s="691"/>
    </row>
    <row r="126" spans="1:9" s="629" customFormat="1" ht="13" x14ac:dyDescent="0.3">
      <c r="A126" s="646"/>
      <c r="B126" s="689"/>
      <c r="C126" s="630"/>
      <c r="D126" s="673"/>
      <c r="E126" s="697"/>
      <c r="F126" s="631"/>
      <c r="G126" s="631"/>
      <c r="H126" s="631"/>
      <c r="I126" s="691"/>
    </row>
    <row r="127" spans="1:9" s="629" customFormat="1" ht="13" x14ac:dyDescent="0.3">
      <c r="A127" s="646"/>
      <c r="B127" s="689"/>
      <c r="C127" s="630"/>
      <c r="D127" s="673"/>
      <c r="E127" s="697"/>
      <c r="F127" s="631"/>
      <c r="G127" s="631"/>
      <c r="H127" s="631"/>
      <c r="I127" s="691"/>
    </row>
    <row r="128" spans="1:9" s="629" customFormat="1" ht="13" x14ac:dyDescent="0.3">
      <c r="A128" s="646"/>
      <c r="B128" s="689"/>
      <c r="C128" s="630"/>
      <c r="D128" s="673"/>
      <c r="E128" s="697"/>
      <c r="F128" s="631"/>
      <c r="G128" s="631"/>
      <c r="H128" s="631"/>
      <c r="I128" s="691"/>
    </row>
    <row r="129" spans="1:31" s="629" customFormat="1" ht="13" x14ac:dyDescent="0.3">
      <c r="A129" s="646"/>
      <c r="B129" s="689"/>
      <c r="C129" s="630"/>
      <c r="D129" s="673"/>
      <c r="E129" s="697"/>
      <c r="F129" s="631"/>
      <c r="G129" s="631"/>
      <c r="H129" s="631"/>
      <c r="I129" s="691"/>
    </row>
    <row r="130" spans="1:31" s="629" customFormat="1" ht="13" x14ac:dyDescent="0.3">
      <c r="A130" s="646"/>
      <c r="B130" s="689"/>
      <c r="C130" s="630"/>
      <c r="D130" s="673"/>
      <c r="E130" s="697"/>
      <c r="F130" s="631"/>
      <c r="G130" s="631"/>
      <c r="H130" s="631"/>
      <c r="I130" s="691"/>
    </row>
    <row r="131" spans="1:31" s="629" customFormat="1" ht="13" x14ac:dyDescent="0.3">
      <c r="A131" s="646"/>
      <c r="B131" s="689"/>
      <c r="C131" s="630"/>
      <c r="D131" s="673"/>
      <c r="E131" s="697"/>
      <c r="F131" s="631"/>
      <c r="G131" s="631"/>
      <c r="H131" s="631"/>
      <c r="I131" s="691"/>
    </row>
    <row r="132" spans="1:31" s="629" customFormat="1" ht="13" x14ac:dyDescent="0.3">
      <c r="A132" s="646"/>
      <c r="B132" s="689"/>
      <c r="C132" s="630"/>
      <c r="D132" s="673"/>
      <c r="E132" s="697"/>
      <c r="F132" s="631"/>
      <c r="G132" s="631"/>
      <c r="H132" s="631"/>
      <c r="I132" s="691"/>
    </row>
    <row r="133" spans="1:31" s="629" customFormat="1" ht="13" x14ac:dyDescent="0.3">
      <c r="A133" s="646"/>
      <c r="B133" s="689"/>
      <c r="C133" s="630"/>
      <c r="D133" s="673"/>
      <c r="E133" s="697"/>
      <c r="F133" s="631"/>
      <c r="G133" s="631"/>
      <c r="H133" s="631"/>
      <c r="I133" s="691"/>
    </row>
    <row r="134" spans="1:31" s="629" customFormat="1" ht="13" x14ac:dyDescent="0.3">
      <c r="A134" s="646"/>
      <c r="B134" s="689"/>
      <c r="C134" s="630"/>
      <c r="D134" s="673"/>
      <c r="E134" s="697"/>
      <c r="F134" s="631"/>
      <c r="G134" s="631"/>
      <c r="H134" s="631"/>
      <c r="I134" s="691"/>
    </row>
    <row r="135" spans="1:31" s="629" customFormat="1" ht="13" x14ac:dyDescent="0.3">
      <c r="A135" s="646"/>
      <c r="B135" s="689"/>
      <c r="C135" s="630"/>
      <c r="D135" s="673"/>
      <c r="E135" s="697"/>
      <c r="F135" s="631"/>
      <c r="G135" s="631"/>
      <c r="H135" s="631"/>
      <c r="I135" s="691"/>
    </row>
    <row r="136" spans="1:31" s="628" customFormat="1" ht="13" x14ac:dyDescent="0.3">
      <c r="A136" s="646"/>
      <c r="B136" s="689"/>
      <c r="C136" s="630"/>
      <c r="D136" s="673"/>
      <c r="E136" s="697"/>
      <c r="F136" s="631"/>
      <c r="G136" s="631"/>
      <c r="H136" s="631"/>
      <c r="I136" s="691"/>
      <c r="J136" s="629"/>
      <c r="K136" s="629"/>
      <c r="L136" s="629"/>
      <c r="M136" s="629"/>
      <c r="N136" s="629"/>
      <c r="O136" s="629"/>
      <c r="P136" s="629"/>
      <c r="Q136" s="629"/>
      <c r="R136" s="629"/>
      <c r="S136" s="629"/>
      <c r="T136" s="629"/>
      <c r="U136" s="629"/>
      <c r="V136" s="629"/>
      <c r="W136" s="629"/>
      <c r="X136" s="629"/>
      <c r="Y136" s="629"/>
      <c r="Z136" s="629"/>
      <c r="AA136" s="629"/>
      <c r="AB136" s="629"/>
      <c r="AC136" s="629"/>
      <c r="AD136" s="629"/>
      <c r="AE136" s="629"/>
    </row>
    <row r="137" spans="1:31" s="628" customFormat="1" ht="13" x14ac:dyDescent="0.3">
      <c r="A137" s="646"/>
      <c r="B137" s="689"/>
      <c r="C137" s="630"/>
      <c r="D137" s="668"/>
      <c r="E137" s="691"/>
      <c r="F137" s="629"/>
      <c r="G137" s="629"/>
      <c r="H137" s="629"/>
      <c r="I137" s="691"/>
      <c r="J137" s="629"/>
      <c r="K137" s="629"/>
      <c r="L137" s="629"/>
      <c r="M137" s="629"/>
      <c r="N137" s="629"/>
      <c r="O137" s="629"/>
      <c r="P137" s="629"/>
      <c r="Q137" s="629"/>
      <c r="R137" s="629"/>
      <c r="S137" s="629"/>
      <c r="T137" s="629"/>
      <c r="U137" s="629"/>
      <c r="V137" s="629"/>
      <c r="W137" s="629"/>
      <c r="X137" s="629"/>
      <c r="Y137" s="629"/>
      <c r="Z137" s="629"/>
      <c r="AA137" s="629"/>
      <c r="AB137" s="629"/>
      <c r="AC137" s="629"/>
      <c r="AD137" s="629"/>
      <c r="AE137" s="629"/>
    </row>
    <row r="138" spans="1:31" s="628" customFormat="1" ht="13" x14ac:dyDescent="0.3">
      <c r="A138" s="646"/>
      <c r="B138" s="689"/>
      <c r="C138" s="630"/>
      <c r="D138" s="668"/>
      <c r="E138" s="691"/>
      <c r="F138" s="629"/>
      <c r="G138" s="629"/>
      <c r="H138" s="629"/>
      <c r="I138" s="691"/>
      <c r="J138" s="629"/>
      <c r="K138" s="629"/>
      <c r="L138" s="629"/>
      <c r="M138" s="629"/>
      <c r="N138" s="629"/>
      <c r="O138" s="629"/>
      <c r="P138" s="629"/>
      <c r="Q138" s="629"/>
      <c r="R138" s="629"/>
      <c r="S138" s="629"/>
      <c r="T138" s="629"/>
      <c r="U138" s="629"/>
      <c r="V138" s="629"/>
      <c r="W138" s="629"/>
      <c r="X138" s="629"/>
      <c r="Y138" s="629"/>
      <c r="Z138" s="629"/>
      <c r="AA138" s="629"/>
      <c r="AB138" s="629"/>
      <c r="AC138" s="629"/>
      <c r="AD138" s="629"/>
      <c r="AE138" s="629"/>
    </row>
    <row r="139" spans="1:31" s="628" customFormat="1" ht="13" x14ac:dyDescent="0.3">
      <c r="A139" s="646"/>
      <c r="B139" s="689"/>
      <c r="C139" s="630"/>
      <c r="D139" s="668"/>
      <c r="E139" s="691"/>
      <c r="F139" s="629"/>
      <c r="G139" s="629"/>
      <c r="H139" s="629"/>
      <c r="I139" s="691"/>
      <c r="J139" s="629"/>
      <c r="K139" s="629"/>
      <c r="L139" s="629"/>
      <c r="M139" s="629"/>
      <c r="N139" s="629"/>
      <c r="O139" s="629"/>
      <c r="P139" s="629"/>
      <c r="Q139" s="629"/>
      <c r="R139" s="629"/>
      <c r="S139" s="629"/>
      <c r="T139" s="629"/>
      <c r="U139" s="629"/>
      <c r="V139" s="629"/>
      <c r="W139" s="629"/>
      <c r="X139" s="629"/>
      <c r="Y139" s="629"/>
      <c r="Z139" s="629"/>
      <c r="AA139" s="629"/>
      <c r="AB139" s="629"/>
      <c r="AC139" s="629"/>
      <c r="AD139" s="629"/>
      <c r="AE139" s="629"/>
    </row>
    <row r="140" spans="1:31" s="628" customFormat="1" ht="13" x14ac:dyDescent="0.3">
      <c r="A140" s="646"/>
      <c r="B140" s="689"/>
      <c r="C140" s="630"/>
      <c r="D140" s="668"/>
      <c r="E140" s="691"/>
      <c r="F140" s="629"/>
      <c r="G140" s="629"/>
      <c r="H140" s="629"/>
      <c r="I140" s="691"/>
      <c r="J140" s="629"/>
      <c r="K140" s="629"/>
      <c r="L140" s="629"/>
      <c r="M140" s="629"/>
      <c r="N140" s="629"/>
      <c r="O140" s="629"/>
      <c r="P140" s="629"/>
      <c r="Q140" s="629"/>
      <c r="R140" s="629"/>
      <c r="S140" s="629"/>
      <c r="T140" s="629"/>
      <c r="U140" s="629"/>
      <c r="V140" s="629"/>
      <c r="W140" s="629"/>
      <c r="X140" s="629"/>
      <c r="Y140" s="629"/>
      <c r="Z140" s="629"/>
      <c r="AA140" s="629"/>
      <c r="AB140" s="629"/>
      <c r="AC140" s="629"/>
      <c r="AD140" s="629"/>
      <c r="AE140" s="629"/>
    </row>
    <row r="141" spans="1:31" s="628" customFormat="1" ht="13" x14ac:dyDescent="0.3">
      <c r="A141" s="646"/>
      <c r="B141" s="689"/>
      <c r="C141" s="630"/>
      <c r="D141" s="668"/>
      <c r="E141" s="691"/>
      <c r="F141" s="629"/>
      <c r="G141" s="629"/>
      <c r="H141" s="629"/>
      <c r="I141" s="691"/>
      <c r="J141" s="629"/>
      <c r="K141" s="629"/>
      <c r="L141" s="629"/>
      <c r="M141" s="629"/>
      <c r="N141" s="629"/>
      <c r="O141" s="629"/>
      <c r="P141" s="629"/>
      <c r="Q141" s="629"/>
      <c r="R141" s="629"/>
      <c r="S141" s="629"/>
      <c r="T141" s="629"/>
      <c r="U141" s="629"/>
      <c r="V141" s="629"/>
      <c r="W141" s="629"/>
      <c r="X141" s="629"/>
      <c r="Y141" s="629"/>
      <c r="Z141" s="629"/>
      <c r="AA141" s="629"/>
      <c r="AB141" s="629"/>
      <c r="AC141" s="629"/>
      <c r="AD141" s="629"/>
      <c r="AE141" s="629"/>
    </row>
    <row r="142" spans="1:31" s="628" customFormat="1" ht="13" x14ac:dyDescent="0.3">
      <c r="A142" s="646"/>
      <c r="B142" s="689"/>
      <c r="C142" s="630"/>
      <c r="D142" s="668"/>
      <c r="E142" s="691"/>
      <c r="F142" s="629"/>
      <c r="G142" s="629"/>
      <c r="H142" s="629"/>
      <c r="I142" s="691"/>
      <c r="J142" s="629"/>
      <c r="K142" s="629"/>
      <c r="L142" s="629"/>
      <c r="M142" s="629"/>
      <c r="N142" s="629"/>
      <c r="O142" s="629"/>
      <c r="P142" s="629"/>
      <c r="Q142" s="629"/>
      <c r="R142" s="629"/>
      <c r="S142" s="629"/>
      <c r="T142" s="629"/>
      <c r="U142" s="629"/>
      <c r="V142" s="629"/>
      <c r="W142" s="629"/>
      <c r="X142" s="629"/>
      <c r="Y142" s="629"/>
      <c r="Z142" s="629"/>
      <c r="AA142" s="629"/>
      <c r="AB142" s="629"/>
      <c r="AC142" s="629"/>
      <c r="AD142" s="629"/>
      <c r="AE142" s="629"/>
    </row>
    <row r="143" spans="1:31" s="628" customFormat="1" ht="13" x14ac:dyDescent="0.3">
      <c r="A143" s="646"/>
      <c r="B143" s="689"/>
      <c r="C143" s="630"/>
      <c r="D143" s="668"/>
      <c r="E143" s="691"/>
      <c r="F143" s="629"/>
      <c r="G143" s="629"/>
      <c r="H143" s="629"/>
      <c r="I143" s="691"/>
      <c r="J143" s="629"/>
      <c r="K143" s="629"/>
      <c r="L143" s="629"/>
      <c r="M143" s="629"/>
      <c r="N143" s="629"/>
      <c r="O143" s="629"/>
      <c r="P143" s="629"/>
      <c r="Q143" s="629"/>
      <c r="R143" s="629"/>
      <c r="S143" s="629"/>
      <c r="T143" s="629"/>
      <c r="U143" s="629"/>
      <c r="V143" s="629"/>
      <c r="W143" s="629"/>
      <c r="X143" s="629"/>
      <c r="Y143" s="629"/>
      <c r="Z143" s="629"/>
      <c r="AA143" s="629"/>
      <c r="AB143" s="629"/>
      <c r="AC143" s="629"/>
      <c r="AD143" s="629"/>
      <c r="AE143" s="629"/>
    </row>
    <row r="144" spans="1:31" s="628" customFormat="1" ht="13" x14ac:dyDescent="0.3">
      <c r="A144" s="646"/>
      <c r="B144" s="689"/>
      <c r="C144" s="630"/>
      <c r="D144" s="668"/>
      <c r="E144" s="691"/>
      <c r="F144" s="629"/>
      <c r="G144" s="629"/>
      <c r="H144" s="629"/>
      <c r="I144" s="691"/>
      <c r="J144" s="629"/>
      <c r="K144" s="629"/>
      <c r="L144" s="629"/>
      <c r="M144" s="629"/>
      <c r="N144" s="629"/>
      <c r="O144" s="629"/>
      <c r="P144" s="629"/>
      <c r="Q144" s="629"/>
      <c r="R144" s="629"/>
      <c r="S144" s="629"/>
      <c r="T144" s="629"/>
      <c r="U144" s="629"/>
      <c r="V144" s="629"/>
      <c r="W144" s="629"/>
      <c r="X144" s="629"/>
      <c r="Y144" s="629"/>
      <c r="Z144" s="629"/>
      <c r="AA144" s="629"/>
      <c r="AB144" s="629"/>
      <c r="AC144" s="629"/>
      <c r="AD144" s="629"/>
      <c r="AE144" s="629"/>
    </row>
    <row r="145" spans="1:31" s="628" customFormat="1" ht="13" x14ac:dyDescent="0.3">
      <c r="A145" s="646"/>
      <c r="B145" s="689"/>
      <c r="C145" s="630"/>
      <c r="D145" s="668"/>
      <c r="E145" s="691"/>
      <c r="F145" s="629"/>
      <c r="G145" s="629"/>
      <c r="H145" s="629"/>
      <c r="I145" s="691"/>
      <c r="J145" s="629"/>
      <c r="K145" s="629"/>
      <c r="L145" s="629"/>
      <c r="M145" s="629"/>
      <c r="N145" s="629"/>
      <c r="O145" s="629"/>
      <c r="P145" s="629"/>
      <c r="Q145" s="629"/>
      <c r="R145" s="629"/>
      <c r="S145" s="629"/>
      <c r="T145" s="629"/>
      <c r="U145" s="629"/>
      <c r="V145" s="629"/>
      <c r="W145" s="629"/>
      <c r="X145" s="629"/>
      <c r="Y145" s="629"/>
      <c r="Z145" s="629"/>
      <c r="AA145" s="629"/>
      <c r="AB145" s="629"/>
      <c r="AC145" s="629"/>
      <c r="AD145" s="629"/>
      <c r="AE145" s="629"/>
    </row>
    <row r="146" spans="1:31" s="628" customFormat="1" ht="13" x14ac:dyDescent="0.3">
      <c r="A146" s="646"/>
      <c r="B146" s="689"/>
      <c r="C146" s="630"/>
      <c r="D146" s="668"/>
      <c r="E146" s="691"/>
      <c r="F146" s="629"/>
      <c r="G146" s="629"/>
      <c r="H146" s="629"/>
      <c r="I146" s="691"/>
      <c r="J146" s="629"/>
      <c r="K146" s="629"/>
      <c r="L146" s="629"/>
      <c r="M146" s="629"/>
      <c r="N146" s="629"/>
      <c r="O146" s="629"/>
      <c r="P146" s="629"/>
      <c r="Q146" s="629"/>
      <c r="R146" s="629"/>
      <c r="S146" s="629"/>
      <c r="T146" s="629"/>
      <c r="U146" s="629"/>
      <c r="V146" s="629"/>
      <c r="W146" s="629"/>
      <c r="X146" s="629"/>
      <c r="Y146" s="629"/>
      <c r="Z146" s="629"/>
      <c r="AA146" s="629"/>
      <c r="AB146" s="629"/>
      <c r="AC146" s="629"/>
      <c r="AD146" s="629"/>
      <c r="AE146" s="629"/>
    </row>
    <row r="147" spans="1:31" s="628" customFormat="1" ht="13" x14ac:dyDescent="0.3">
      <c r="A147" s="646"/>
      <c r="B147" s="689"/>
      <c r="C147" s="630"/>
      <c r="D147" s="668"/>
      <c r="E147" s="691"/>
      <c r="F147" s="629"/>
      <c r="G147" s="629"/>
      <c r="H147" s="629"/>
      <c r="I147" s="691"/>
      <c r="J147" s="629"/>
      <c r="K147" s="629"/>
      <c r="L147" s="629"/>
      <c r="M147" s="629"/>
      <c r="N147" s="629"/>
      <c r="O147" s="629"/>
      <c r="P147" s="629"/>
      <c r="Q147" s="629"/>
      <c r="R147" s="629"/>
      <c r="S147" s="629"/>
      <c r="T147" s="629"/>
      <c r="U147" s="629"/>
      <c r="V147" s="629"/>
      <c r="W147" s="629"/>
      <c r="X147" s="629"/>
      <c r="Y147" s="629"/>
      <c r="Z147" s="629"/>
      <c r="AA147" s="629"/>
      <c r="AB147" s="629"/>
      <c r="AC147" s="629"/>
      <c r="AD147" s="629"/>
      <c r="AE147" s="629"/>
    </row>
    <row r="148" spans="1:31" s="628" customFormat="1" ht="13" x14ac:dyDescent="0.3">
      <c r="A148" s="646"/>
      <c r="B148" s="689"/>
      <c r="C148" s="630"/>
      <c r="D148" s="668"/>
      <c r="E148" s="691"/>
      <c r="F148" s="629"/>
      <c r="G148" s="629"/>
      <c r="H148" s="629"/>
      <c r="I148" s="691"/>
      <c r="J148" s="629"/>
      <c r="K148" s="629"/>
      <c r="L148" s="629"/>
      <c r="M148" s="629"/>
      <c r="N148" s="629"/>
      <c r="O148" s="629"/>
      <c r="P148" s="629"/>
      <c r="Q148" s="629"/>
      <c r="R148" s="629"/>
      <c r="S148" s="629"/>
      <c r="T148" s="629"/>
      <c r="U148" s="629"/>
      <c r="V148" s="629"/>
      <c r="W148" s="629"/>
      <c r="X148" s="629"/>
      <c r="Y148" s="629"/>
      <c r="Z148" s="629"/>
      <c r="AA148" s="629"/>
      <c r="AB148" s="629"/>
      <c r="AC148" s="629"/>
      <c r="AD148" s="629"/>
      <c r="AE148" s="629"/>
    </row>
    <row r="149" spans="1:31" s="628" customFormat="1" ht="13" x14ac:dyDescent="0.3">
      <c r="A149" s="646"/>
      <c r="B149" s="689"/>
      <c r="C149" s="630"/>
      <c r="D149" s="668"/>
      <c r="E149" s="691"/>
      <c r="F149" s="629"/>
      <c r="G149" s="629"/>
      <c r="H149" s="629"/>
      <c r="I149" s="691"/>
      <c r="J149" s="629"/>
      <c r="K149" s="629"/>
      <c r="L149" s="629"/>
      <c r="M149" s="629"/>
      <c r="N149" s="629"/>
      <c r="O149" s="629"/>
      <c r="P149" s="629"/>
      <c r="Q149" s="629"/>
      <c r="R149" s="629"/>
      <c r="S149" s="629"/>
      <c r="T149" s="629"/>
      <c r="U149" s="629"/>
      <c r="V149" s="629"/>
      <c r="W149" s="629"/>
      <c r="X149" s="629"/>
      <c r="Y149" s="629"/>
      <c r="Z149" s="629"/>
      <c r="AA149" s="629"/>
      <c r="AB149" s="629"/>
      <c r="AC149" s="629"/>
      <c r="AD149" s="629"/>
      <c r="AE149" s="629"/>
    </row>
    <row r="150" spans="1:31" s="628" customFormat="1" ht="13" x14ac:dyDescent="0.3">
      <c r="A150" s="646"/>
      <c r="B150" s="689"/>
      <c r="C150" s="630"/>
      <c r="D150" s="668"/>
      <c r="E150" s="691"/>
      <c r="F150" s="629"/>
      <c r="G150" s="629"/>
      <c r="H150" s="629"/>
      <c r="I150" s="691"/>
      <c r="J150" s="629"/>
      <c r="K150" s="629"/>
      <c r="L150" s="629"/>
      <c r="M150" s="629"/>
      <c r="N150" s="629"/>
      <c r="O150" s="629"/>
      <c r="P150" s="629"/>
      <c r="Q150" s="629"/>
      <c r="R150" s="629"/>
      <c r="S150" s="629"/>
      <c r="T150" s="629"/>
      <c r="U150" s="629"/>
      <c r="V150" s="629"/>
      <c r="W150" s="629"/>
      <c r="X150" s="629"/>
      <c r="Y150" s="629"/>
      <c r="Z150" s="629"/>
      <c r="AA150" s="629"/>
      <c r="AB150" s="629"/>
      <c r="AC150" s="629"/>
      <c r="AD150" s="629"/>
      <c r="AE150" s="629"/>
    </row>
    <row r="151" spans="1:31" s="628" customFormat="1" ht="13" x14ac:dyDescent="0.3">
      <c r="A151" s="646"/>
      <c r="B151" s="689"/>
      <c r="C151" s="630"/>
      <c r="D151" s="668"/>
      <c r="E151" s="691"/>
      <c r="F151" s="629"/>
      <c r="G151" s="629"/>
      <c r="H151" s="629"/>
      <c r="I151" s="691"/>
      <c r="J151" s="629"/>
      <c r="K151" s="629"/>
      <c r="L151" s="629"/>
      <c r="M151" s="629"/>
      <c r="N151" s="629"/>
      <c r="O151" s="629"/>
      <c r="P151" s="629"/>
      <c r="Q151" s="629"/>
      <c r="R151" s="629"/>
      <c r="S151" s="629"/>
      <c r="T151" s="629"/>
      <c r="U151" s="629"/>
      <c r="V151" s="629"/>
      <c r="W151" s="629"/>
      <c r="X151" s="629"/>
      <c r="Y151" s="629"/>
      <c r="Z151" s="629"/>
      <c r="AA151" s="629"/>
      <c r="AB151" s="629"/>
      <c r="AC151" s="629"/>
      <c r="AD151" s="629"/>
      <c r="AE151" s="629"/>
    </row>
    <row r="152" spans="1:31" s="628" customFormat="1" ht="13" x14ac:dyDescent="0.3">
      <c r="A152" s="646"/>
      <c r="B152" s="689"/>
      <c r="C152" s="630"/>
      <c r="D152" s="668"/>
      <c r="E152" s="691"/>
      <c r="F152" s="629"/>
      <c r="G152" s="629"/>
      <c r="H152" s="629"/>
      <c r="I152" s="691"/>
      <c r="J152" s="629"/>
      <c r="K152" s="629"/>
      <c r="L152" s="629"/>
      <c r="M152" s="629"/>
      <c r="N152" s="629"/>
      <c r="O152" s="629"/>
      <c r="P152" s="629"/>
      <c r="Q152" s="629"/>
      <c r="R152" s="629"/>
      <c r="S152" s="629"/>
      <c r="T152" s="629"/>
      <c r="U152" s="629"/>
      <c r="V152" s="629"/>
      <c r="W152" s="629"/>
      <c r="X152" s="629"/>
      <c r="Y152" s="629"/>
      <c r="Z152" s="629"/>
      <c r="AA152" s="629"/>
      <c r="AB152" s="629"/>
      <c r="AC152" s="629"/>
      <c r="AD152" s="629"/>
      <c r="AE152" s="629"/>
    </row>
    <row r="153" spans="1:31" s="628" customFormat="1" ht="13" x14ac:dyDescent="0.3">
      <c r="A153" s="646"/>
      <c r="B153" s="689"/>
      <c r="C153" s="630"/>
      <c r="D153" s="668"/>
      <c r="E153" s="691"/>
      <c r="F153" s="629"/>
      <c r="G153" s="629"/>
      <c r="H153" s="629"/>
      <c r="I153" s="691"/>
      <c r="J153" s="629"/>
      <c r="K153" s="629"/>
      <c r="L153" s="629"/>
      <c r="M153" s="629"/>
      <c r="N153" s="629"/>
      <c r="O153" s="629"/>
      <c r="P153" s="629"/>
      <c r="Q153" s="629"/>
      <c r="R153" s="629"/>
      <c r="S153" s="629"/>
      <c r="T153" s="629"/>
      <c r="U153" s="629"/>
      <c r="V153" s="629"/>
      <c r="W153" s="629"/>
      <c r="X153" s="629"/>
      <c r="Y153" s="629"/>
      <c r="Z153" s="629"/>
      <c r="AA153" s="629"/>
      <c r="AB153" s="629"/>
      <c r="AC153" s="629"/>
      <c r="AD153" s="629"/>
      <c r="AE153" s="629"/>
    </row>
    <row r="154" spans="1:31" s="628" customFormat="1" ht="13" x14ac:dyDescent="0.3">
      <c r="A154" s="646"/>
      <c r="B154" s="689"/>
      <c r="C154" s="630"/>
      <c r="D154" s="668"/>
      <c r="E154" s="691"/>
      <c r="F154" s="629"/>
      <c r="G154" s="629"/>
      <c r="H154" s="629"/>
      <c r="I154" s="691"/>
      <c r="J154" s="629"/>
      <c r="K154" s="629"/>
      <c r="L154" s="629"/>
      <c r="M154" s="629"/>
      <c r="N154" s="629"/>
      <c r="O154" s="629"/>
      <c r="P154" s="629"/>
      <c r="Q154" s="629"/>
      <c r="R154" s="629"/>
      <c r="S154" s="629"/>
      <c r="T154" s="629"/>
      <c r="U154" s="629"/>
      <c r="V154" s="629"/>
      <c r="W154" s="629"/>
      <c r="X154" s="629"/>
      <c r="Y154" s="629"/>
      <c r="Z154" s="629"/>
      <c r="AA154" s="629"/>
      <c r="AB154" s="629"/>
      <c r="AC154" s="629"/>
      <c r="AD154" s="629"/>
      <c r="AE154" s="629"/>
    </row>
    <row r="155" spans="1:31" s="628" customFormat="1" ht="13" x14ac:dyDescent="0.3">
      <c r="A155" s="646"/>
      <c r="B155" s="689"/>
      <c r="C155" s="630"/>
      <c r="D155" s="668"/>
      <c r="E155" s="691"/>
      <c r="F155" s="629"/>
      <c r="G155" s="629"/>
      <c r="H155" s="629"/>
      <c r="I155" s="691"/>
      <c r="J155" s="629"/>
      <c r="K155" s="629"/>
      <c r="L155" s="629"/>
      <c r="M155" s="629"/>
      <c r="N155" s="629"/>
      <c r="O155" s="629"/>
      <c r="P155" s="629"/>
      <c r="Q155" s="629"/>
      <c r="R155" s="629"/>
      <c r="S155" s="629"/>
      <c r="T155" s="629"/>
      <c r="U155" s="629"/>
      <c r="V155" s="629"/>
      <c r="W155" s="629"/>
      <c r="X155" s="629"/>
      <c r="Y155" s="629"/>
      <c r="Z155" s="629"/>
      <c r="AA155" s="629"/>
      <c r="AB155" s="629"/>
      <c r="AC155" s="629"/>
      <c r="AD155" s="629"/>
      <c r="AE155" s="629"/>
    </row>
    <row r="156" spans="1:31" s="628" customFormat="1" ht="13" x14ac:dyDescent="0.3">
      <c r="A156" s="646"/>
      <c r="B156" s="689"/>
      <c r="C156" s="630"/>
      <c r="D156" s="668"/>
      <c r="E156" s="691"/>
      <c r="F156" s="629"/>
      <c r="G156" s="629"/>
      <c r="H156" s="629"/>
      <c r="I156" s="691"/>
      <c r="J156" s="629"/>
      <c r="K156" s="629"/>
      <c r="L156" s="629"/>
      <c r="M156" s="629"/>
      <c r="N156" s="629"/>
      <c r="O156" s="629"/>
      <c r="P156" s="629"/>
      <c r="Q156" s="629"/>
      <c r="R156" s="629"/>
      <c r="S156" s="629"/>
      <c r="T156" s="629"/>
      <c r="U156" s="629"/>
      <c r="V156" s="629"/>
      <c r="W156" s="629"/>
      <c r="X156" s="629"/>
      <c r="Y156" s="629"/>
      <c r="Z156" s="629"/>
      <c r="AA156" s="629"/>
      <c r="AB156" s="629"/>
      <c r="AC156" s="629"/>
      <c r="AD156" s="629"/>
      <c r="AE156" s="629"/>
    </row>
    <row r="157" spans="1:31" s="628" customFormat="1" ht="13" x14ac:dyDescent="0.3">
      <c r="A157" s="646"/>
      <c r="B157" s="689"/>
      <c r="C157" s="630"/>
      <c r="D157" s="668"/>
      <c r="E157" s="691"/>
      <c r="F157" s="629"/>
      <c r="G157" s="629"/>
      <c r="H157" s="629"/>
      <c r="I157" s="691"/>
      <c r="J157" s="629"/>
      <c r="K157" s="629"/>
      <c r="L157" s="629"/>
      <c r="M157" s="629"/>
      <c r="N157" s="629"/>
      <c r="O157" s="629"/>
      <c r="P157" s="629"/>
      <c r="Q157" s="629"/>
      <c r="R157" s="629"/>
      <c r="S157" s="629"/>
      <c r="T157" s="629"/>
      <c r="U157" s="629"/>
      <c r="V157" s="629"/>
      <c r="W157" s="629"/>
      <c r="X157" s="629"/>
      <c r="Y157" s="629"/>
      <c r="Z157" s="629"/>
      <c r="AA157" s="629"/>
      <c r="AB157" s="629"/>
      <c r="AC157" s="629"/>
      <c r="AD157" s="629"/>
      <c r="AE157" s="629"/>
    </row>
    <row r="158" spans="1:31" s="628" customFormat="1" ht="13" x14ac:dyDescent="0.3">
      <c r="A158" s="646"/>
      <c r="B158" s="689"/>
      <c r="C158" s="630"/>
      <c r="D158" s="668"/>
      <c r="E158" s="691"/>
      <c r="F158" s="629"/>
      <c r="G158" s="629"/>
      <c r="H158" s="629"/>
      <c r="I158" s="691"/>
      <c r="J158" s="629"/>
      <c r="K158" s="629"/>
      <c r="L158" s="629"/>
      <c r="M158" s="629"/>
      <c r="N158" s="629"/>
      <c r="O158" s="629"/>
      <c r="P158" s="629"/>
      <c r="Q158" s="629"/>
      <c r="R158" s="629"/>
      <c r="S158" s="629"/>
      <c r="T158" s="629"/>
      <c r="U158" s="629"/>
      <c r="V158" s="629"/>
      <c r="W158" s="629"/>
      <c r="X158" s="629"/>
      <c r="Y158" s="629"/>
      <c r="Z158" s="629"/>
      <c r="AA158" s="629"/>
      <c r="AB158" s="629"/>
      <c r="AC158" s="629"/>
      <c r="AD158" s="629"/>
      <c r="AE158" s="629"/>
    </row>
    <row r="159" spans="1:31" s="628" customFormat="1" ht="13" x14ac:dyDescent="0.3">
      <c r="A159" s="646"/>
      <c r="B159" s="689"/>
      <c r="C159" s="630"/>
      <c r="D159" s="668"/>
      <c r="E159" s="691"/>
      <c r="F159" s="629"/>
      <c r="G159" s="629"/>
      <c r="H159" s="629"/>
      <c r="I159" s="691"/>
      <c r="J159" s="629"/>
      <c r="K159" s="629"/>
      <c r="L159" s="629"/>
      <c r="M159" s="629"/>
      <c r="N159" s="629"/>
      <c r="O159" s="629"/>
      <c r="P159" s="629"/>
      <c r="Q159" s="629"/>
      <c r="R159" s="629"/>
      <c r="S159" s="629"/>
      <c r="T159" s="629"/>
      <c r="U159" s="629"/>
      <c r="V159" s="629"/>
      <c r="W159" s="629"/>
      <c r="X159" s="629"/>
      <c r="Y159" s="629"/>
      <c r="Z159" s="629"/>
      <c r="AA159" s="629"/>
      <c r="AB159" s="629"/>
      <c r="AC159" s="629"/>
      <c r="AD159" s="629"/>
      <c r="AE159" s="629"/>
    </row>
    <row r="160" spans="1:31" s="628" customFormat="1" ht="13" x14ac:dyDescent="0.3">
      <c r="A160" s="646"/>
      <c r="B160" s="689"/>
      <c r="C160" s="630"/>
      <c r="D160" s="668"/>
      <c r="E160" s="691"/>
      <c r="F160" s="629"/>
      <c r="G160" s="629"/>
      <c r="H160" s="629"/>
      <c r="I160" s="691"/>
      <c r="J160" s="629"/>
      <c r="K160" s="629"/>
      <c r="L160" s="629"/>
      <c r="M160" s="629"/>
      <c r="N160" s="629"/>
      <c r="O160" s="629"/>
      <c r="P160" s="629"/>
      <c r="Q160" s="629"/>
      <c r="R160" s="629"/>
      <c r="S160" s="629"/>
      <c r="T160" s="629"/>
      <c r="U160" s="629"/>
      <c r="V160" s="629"/>
      <c r="W160" s="629"/>
      <c r="X160" s="629"/>
      <c r="Y160" s="629"/>
      <c r="Z160" s="629"/>
      <c r="AA160" s="629"/>
      <c r="AB160" s="629"/>
      <c r="AC160" s="629"/>
      <c r="AD160" s="629"/>
      <c r="AE160" s="629"/>
    </row>
    <row r="161" spans="1:31" s="628" customFormat="1" ht="13" x14ac:dyDescent="0.3">
      <c r="A161" s="646"/>
      <c r="B161" s="689"/>
      <c r="C161" s="630"/>
      <c r="D161" s="668"/>
      <c r="E161" s="691"/>
      <c r="F161" s="629"/>
      <c r="G161" s="629"/>
      <c r="H161" s="629"/>
      <c r="I161" s="691"/>
      <c r="J161" s="629"/>
      <c r="K161" s="629"/>
      <c r="L161" s="629"/>
      <c r="M161" s="629"/>
      <c r="N161" s="629"/>
      <c r="O161" s="629"/>
      <c r="P161" s="629"/>
      <c r="Q161" s="629"/>
      <c r="R161" s="629"/>
      <c r="S161" s="629"/>
      <c r="T161" s="629"/>
      <c r="U161" s="629"/>
      <c r="V161" s="629"/>
      <c r="W161" s="629"/>
      <c r="X161" s="629"/>
      <c r="Y161" s="629"/>
      <c r="Z161" s="629"/>
      <c r="AA161" s="629"/>
      <c r="AB161" s="629"/>
      <c r="AC161" s="629"/>
      <c r="AD161" s="629"/>
      <c r="AE161" s="629"/>
    </row>
    <row r="162" spans="1:31" s="628" customFormat="1" ht="13" x14ac:dyDescent="0.3">
      <c r="A162" s="646"/>
      <c r="B162" s="689"/>
      <c r="C162" s="630"/>
      <c r="D162" s="668"/>
      <c r="E162" s="691"/>
      <c r="F162" s="629"/>
      <c r="G162" s="629"/>
      <c r="H162" s="629"/>
      <c r="I162" s="691"/>
      <c r="J162" s="629"/>
      <c r="K162" s="629"/>
      <c r="L162" s="629"/>
      <c r="M162" s="629"/>
      <c r="N162" s="629"/>
      <c r="O162" s="629"/>
      <c r="P162" s="629"/>
      <c r="Q162" s="629"/>
      <c r="R162" s="629"/>
      <c r="S162" s="629"/>
      <c r="T162" s="629"/>
      <c r="U162" s="629"/>
      <c r="V162" s="629"/>
      <c r="W162" s="629"/>
      <c r="X162" s="629"/>
      <c r="Y162" s="629"/>
      <c r="Z162" s="629"/>
      <c r="AA162" s="629"/>
      <c r="AB162" s="629"/>
      <c r="AC162" s="629"/>
      <c r="AD162" s="629"/>
      <c r="AE162" s="629"/>
    </row>
    <row r="163" spans="1:31" s="628" customFormat="1" ht="13" x14ac:dyDescent="0.3">
      <c r="A163" s="646"/>
      <c r="B163" s="689"/>
      <c r="C163" s="630"/>
      <c r="D163" s="668"/>
      <c r="E163" s="691"/>
      <c r="F163" s="629"/>
      <c r="G163" s="629"/>
      <c r="H163" s="629"/>
      <c r="I163" s="691"/>
      <c r="J163" s="629"/>
      <c r="K163" s="629"/>
      <c r="L163" s="629"/>
      <c r="M163" s="629"/>
      <c r="N163" s="629"/>
      <c r="O163" s="629"/>
      <c r="P163" s="629"/>
      <c r="Q163" s="629"/>
      <c r="R163" s="629"/>
      <c r="S163" s="629"/>
      <c r="T163" s="629"/>
      <c r="U163" s="629"/>
      <c r="V163" s="629"/>
      <c r="W163" s="629"/>
      <c r="X163" s="629"/>
      <c r="Y163" s="629"/>
      <c r="Z163" s="629"/>
      <c r="AA163" s="629"/>
      <c r="AB163" s="629"/>
      <c r="AC163" s="629"/>
      <c r="AD163" s="629"/>
      <c r="AE163" s="629"/>
    </row>
    <row r="164" spans="1:31" s="628" customFormat="1" ht="13" x14ac:dyDescent="0.3">
      <c r="A164" s="646"/>
      <c r="B164" s="689"/>
      <c r="C164" s="630"/>
      <c r="D164" s="668"/>
      <c r="E164" s="691"/>
      <c r="F164" s="629"/>
      <c r="G164" s="629"/>
      <c r="H164" s="629"/>
      <c r="I164" s="691"/>
      <c r="J164" s="629"/>
      <c r="K164" s="629"/>
      <c r="L164" s="629"/>
      <c r="M164" s="629"/>
      <c r="N164" s="629"/>
      <c r="O164" s="629"/>
      <c r="P164" s="629"/>
      <c r="Q164" s="629"/>
      <c r="R164" s="629"/>
      <c r="S164" s="629"/>
      <c r="T164" s="629"/>
      <c r="U164" s="629"/>
      <c r="V164" s="629"/>
      <c r="W164" s="629"/>
      <c r="X164" s="629"/>
      <c r="Y164" s="629"/>
      <c r="Z164" s="629"/>
      <c r="AA164" s="629"/>
      <c r="AB164" s="629"/>
      <c r="AC164" s="629"/>
      <c r="AD164" s="629"/>
      <c r="AE164" s="629"/>
    </row>
    <row r="165" spans="1:31" s="628" customFormat="1" ht="13" x14ac:dyDescent="0.3">
      <c r="A165" s="646"/>
      <c r="B165" s="689"/>
      <c r="C165" s="630"/>
      <c r="D165" s="668"/>
      <c r="E165" s="691"/>
      <c r="F165" s="629"/>
      <c r="G165" s="629"/>
      <c r="H165" s="629"/>
      <c r="I165" s="691"/>
      <c r="J165" s="629"/>
      <c r="K165" s="629"/>
      <c r="L165" s="629"/>
      <c r="M165" s="629"/>
      <c r="N165" s="629"/>
      <c r="O165" s="629"/>
      <c r="P165" s="629"/>
      <c r="Q165" s="629"/>
      <c r="R165" s="629"/>
      <c r="S165" s="629"/>
      <c r="T165" s="629"/>
      <c r="U165" s="629"/>
      <c r="V165" s="629"/>
      <c r="W165" s="629"/>
      <c r="X165" s="629"/>
      <c r="Y165" s="629"/>
      <c r="Z165" s="629"/>
      <c r="AA165" s="629"/>
      <c r="AB165" s="629"/>
      <c r="AC165" s="629"/>
      <c r="AD165" s="629"/>
      <c r="AE165" s="629"/>
    </row>
    <row r="166" spans="1:31" s="628" customFormat="1" ht="13" x14ac:dyDescent="0.3">
      <c r="A166" s="646"/>
      <c r="B166" s="689"/>
      <c r="C166" s="630"/>
      <c r="D166" s="668"/>
      <c r="E166" s="691"/>
      <c r="F166" s="629"/>
      <c r="G166" s="629"/>
      <c r="H166" s="629"/>
      <c r="I166" s="691"/>
      <c r="J166" s="629"/>
      <c r="K166" s="629"/>
      <c r="L166" s="629"/>
      <c r="M166" s="629"/>
      <c r="N166" s="629"/>
      <c r="O166" s="629"/>
      <c r="P166" s="629"/>
      <c r="Q166" s="629"/>
      <c r="R166" s="629"/>
      <c r="S166" s="629"/>
      <c r="T166" s="629"/>
      <c r="U166" s="629"/>
      <c r="V166" s="629"/>
      <c r="W166" s="629"/>
      <c r="X166" s="629"/>
      <c r="Y166" s="629"/>
      <c r="Z166" s="629"/>
      <c r="AA166" s="629"/>
      <c r="AB166" s="629"/>
      <c r="AC166" s="629"/>
      <c r="AD166" s="629"/>
      <c r="AE166" s="629"/>
    </row>
    <row r="167" spans="1:31" s="628" customFormat="1" ht="13" x14ac:dyDescent="0.3">
      <c r="A167" s="646"/>
      <c r="B167" s="689"/>
      <c r="C167" s="630"/>
      <c r="D167" s="668"/>
      <c r="E167" s="691"/>
      <c r="F167" s="629"/>
      <c r="G167" s="629"/>
      <c r="H167" s="629"/>
      <c r="I167" s="691"/>
      <c r="J167" s="629"/>
      <c r="K167" s="629"/>
      <c r="L167" s="629"/>
      <c r="M167" s="629"/>
      <c r="N167" s="629"/>
      <c r="O167" s="629"/>
      <c r="P167" s="629"/>
      <c r="Q167" s="629"/>
      <c r="R167" s="629"/>
      <c r="S167" s="629"/>
      <c r="T167" s="629"/>
      <c r="U167" s="629"/>
      <c r="V167" s="629"/>
      <c r="W167" s="629"/>
      <c r="X167" s="629"/>
      <c r="Y167" s="629"/>
      <c r="Z167" s="629"/>
      <c r="AA167" s="629"/>
      <c r="AB167" s="629"/>
      <c r="AC167" s="629"/>
      <c r="AD167" s="629"/>
      <c r="AE167" s="629"/>
    </row>
    <row r="168" spans="1:31" s="628" customFormat="1" ht="13" x14ac:dyDescent="0.3">
      <c r="A168" s="646"/>
      <c r="B168" s="689"/>
      <c r="C168" s="630"/>
      <c r="D168" s="668"/>
      <c r="E168" s="691"/>
      <c r="F168" s="629"/>
      <c r="G168" s="629"/>
      <c r="H168" s="629"/>
      <c r="I168" s="691"/>
      <c r="J168" s="629"/>
      <c r="K168" s="629"/>
      <c r="L168" s="629"/>
      <c r="M168" s="629"/>
      <c r="N168" s="629"/>
      <c r="O168" s="629"/>
      <c r="P168" s="629"/>
      <c r="Q168" s="629"/>
      <c r="R168" s="629"/>
      <c r="S168" s="629"/>
      <c r="T168" s="629"/>
      <c r="U168" s="629"/>
      <c r="V168" s="629"/>
      <c r="W168" s="629"/>
      <c r="X168" s="629"/>
      <c r="Y168" s="629"/>
      <c r="Z168" s="629"/>
      <c r="AA168" s="629"/>
      <c r="AB168" s="629"/>
      <c r="AC168" s="629"/>
      <c r="AD168" s="629"/>
      <c r="AE168" s="629"/>
    </row>
    <row r="169" spans="1:31" s="628" customFormat="1" ht="13" x14ac:dyDescent="0.3">
      <c r="A169" s="646"/>
      <c r="B169" s="689"/>
      <c r="C169" s="630"/>
      <c r="D169" s="668"/>
      <c r="E169" s="691"/>
      <c r="F169" s="629"/>
      <c r="G169" s="629"/>
      <c r="H169" s="629"/>
      <c r="I169" s="691"/>
      <c r="J169" s="629"/>
      <c r="K169" s="629"/>
      <c r="L169" s="629"/>
      <c r="M169" s="629"/>
      <c r="N169" s="629"/>
      <c r="O169" s="629"/>
      <c r="P169" s="629"/>
      <c r="Q169" s="629"/>
      <c r="R169" s="629"/>
      <c r="S169" s="629"/>
      <c r="T169" s="629"/>
      <c r="U169" s="629"/>
      <c r="V169" s="629"/>
      <c r="W169" s="629"/>
      <c r="X169" s="629"/>
      <c r="Y169" s="629"/>
      <c r="Z169" s="629"/>
      <c r="AA169" s="629"/>
      <c r="AB169" s="629"/>
      <c r="AC169" s="629"/>
      <c r="AD169" s="629"/>
      <c r="AE169" s="629"/>
    </row>
    <row r="170" spans="1:31" s="628" customFormat="1" ht="13" x14ac:dyDescent="0.3">
      <c r="A170" s="646"/>
      <c r="B170" s="689"/>
      <c r="C170" s="630"/>
      <c r="D170" s="668"/>
      <c r="E170" s="691"/>
      <c r="F170" s="629"/>
      <c r="G170" s="629"/>
      <c r="H170" s="629"/>
      <c r="I170" s="691"/>
      <c r="J170" s="629"/>
      <c r="K170" s="629"/>
      <c r="L170" s="629"/>
      <c r="M170" s="629"/>
      <c r="N170" s="629"/>
      <c r="O170" s="629"/>
      <c r="P170" s="629"/>
      <c r="Q170" s="629"/>
      <c r="R170" s="629"/>
      <c r="S170" s="629"/>
      <c r="T170" s="629"/>
      <c r="U170" s="629"/>
      <c r="V170" s="629"/>
      <c r="W170" s="629"/>
      <c r="X170" s="629"/>
      <c r="Y170" s="629"/>
      <c r="Z170" s="629"/>
      <c r="AA170" s="629"/>
      <c r="AB170" s="629"/>
      <c r="AC170" s="629"/>
      <c r="AD170" s="629"/>
      <c r="AE170" s="629"/>
    </row>
    <row r="171" spans="1:31" s="628" customFormat="1" ht="13" x14ac:dyDescent="0.3">
      <c r="A171" s="646"/>
      <c r="B171" s="689"/>
      <c r="C171" s="630"/>
      <c r="D171" s="668"/>
      <c r="E171" s="691"/>
      <c r="F171" s="629"/>
      <c r="G171" s="629"/>
      <c r="H171" s="629"/>
      <c r="I171" s="691"/>
      <c r="J171" s="629"/>
      <c r="K171" s="629"/>
      <c r="L171" s="629"/>
      <c r="M171" s="629"/>
      <c r="N171" s="629"/>
      <c r="O171" s="629"/>
      <c r="P171" s="629"/>
      <c r="Q171" s="629"/>
      <c r="R171" s="629"/>
      <c r="S171" s="629"/>
      <c r="T171" s="629"/>
      <c r="U171" s="629"/>
      <c r="V171" s="629"/>
      <c r="W171" s="629"/>
      <c r="X171" s="629"/>
      <c r="Y171" s="629"/>
      <c r="Z171" s="629"/>
      <c r="AA171" s="629"/>
      <c r="AB171" s="629"/>
      <c r="AC171" s="629"/>
      <c r="AD171" s="629"/>
      <c r="AE171" s="629"/>
    </row>
    <row r="172" spans="1:31" s="628" customFormat="1" ht="13" x14ac:dyDescent="0.3">
      <c r="A172" s="646"/>
      <c r="B172" s="689"/>
      <c r="C172" s="630"/>
      <c r="D172" s="668"/>
      <c r="E172" s="691"/>
      <c r="F172" s="629"/>
      <c r="G172" s="629"/>
      <c r="H172" s="629"/>
      <c r="I172" s="691"/>
      <c r="J172" s="629"/>
      <c r="K172" s="629"/>
      <c r="L172" s="629"/>
      <c r="M172" s="629"/>
      <c r="N172" s="629"/>
      <c r="O172" s="629"/>
      <c r="P172" s="629"/>
      <c r="Q172" s="629"/>
      <c r="R172" s="629"/>
      <c r="S172" s="629"/>
      <c r="T172" s="629"/>
      <c r="U172" s="629"/>
      <c r="V172" s="629"/>
      <c r="W172" s="629"/>
      <c r="X172" s="629"/>
      <c r="Y172" s="629"/>
      <c r="Z172" s="629"/>
      <c r="AA172" s="629"/>
      <c r="AB172" s="629"/>
      <c r="AC172" s="629"/>
      <c r="AD172" s="629"/>
      <c r="AE172" s="629"/>
    </row>
    <row r="173" spans="1:31" s="628" customFormat="1" ht="13" x14ac:dyDescent="0.3">
      <c r="A173" s="646"/>
      <c r="B173" s="689"/>
      <c r="C173" s="630"/>
      <c r="D173" s="668"/>
      <c r="E173" s="691"/>
      <c r="F173" s="629"/>
      <c r="G173" s="629"/>
      <c r="H173" s="629"/>
      <c r="I173" s="691"/>
      <c r="J173" s="629"/>
      <c r="K173" s="629"/>
      <c r="L173" s="629"/>
      <c r="M173" s="629"/>
      <c r="N173" s="629"/>
      <c r="O173" s="629"/>
      <c r="P173" s="629"/>
      <c r="Q173" s="629"/>
      <c r="R173" s="629"/>
      <c r="S173" s="629"/>
      <c r="T173" s="629"/>
      <c r="U173" s="629"/>
      <c r="V173" s="629"/>
      <c r="W173" s="629"/>
      <c r="X173" s="629"/>
      <c r="Y173" s="629"/>
      <c r="Z173" s="629"/>
      <c r="AA173" s="629"/>
      <c r="AB173" s="629"/>
      <c r="AC173" s="629"/>
      <c r="AD173" s="629"/>
      <c r="AE173" s="629"/>
    </row>
    <row r="174" spans="1:31" s="628" customFormat="1" ht="13" x14ac:dyDescent="0.3">
      <c r="A174" s="646"/>
      <c r="B174" s="689"/>
      <c r="C174" s="630"/>
      <c r="D174" s="668"/>
      <c r="E174" s="691"/>
      <c r="F174" s="629"/>
      <c r="G174" s="629"/>
      <c r="H174" s="629"/>
      <c r="I174" s="691"/>
      <c r="J174" s="629"/>
      <c r="K174" s="629"/>
      <c r="L174" s="629"/>
      <c r="M174" s="629"/>
      <c r="N174" s="629"/>
      <c r="O174" s="629"/>
      <c r="P174" s="629"/>
      <c r="Q174" s="629"/>
      <c r="R174" s="629"/>
      <c r="S174" s="629"/>
      <c r="T174" s="629"/>
      <c r="U174" s="629"/>
      <c r="V174" s="629"/>
      <c r="W174" s="629"/>
      <c r="X174" s="629"/>
      <c r="Y174" s="629"/>
      <c r="Z174" s="629"/>
      <c r="AA174" s="629"/>
      <c r="AB174" s="629"/>
      <c r="AC174" s="629"/>
      <c r="AD174" s="629"/>
      <c r="AE174" s="629"/>
    </row>
    <row r="175" spans="1:31" s="628" customFormat="1" ht="13" x14ac:dyDescent="0.3">
      <c r="A175" s="646"/>
      <c r="B175" s="689"/>
      <c r="C175" s="630"/>
      <c r="D175" s="668"/>
      <c r="E175" s="691"/>
      <c r="F175" s="629"/>
      <c r="G175" s="629"/>
      <c r="H175" s="629"/>
      <c r="I175" s="691"/>
      <c r="J175" s="629"/>
      <c r="K175" s="629"/>
      <c r="L175" s="629"/>
      <c r="M175" s="629"/>
      <c r="N175" s="629"/>
      <c r="O175" s="629"/>
      <c r="P175" s="629"/>
      <c r="Q175" s="629"/>
      <c r="R175" s="629"/>
      <c r="S175" s="629"/>
      <c r="T175" s="629"/>
      <c r="U175" s="629"/>
      <c r="V175" s="629"/>
      <c r="W175" s="629"/>
      <c r="X175" s="629"/>
      <c r="Y175" s="629"/>
      <c r="Z175" s="629"/>
      <c r="AA175" s="629"/>
      <c r="AB175" s="629"/>
      <c r="AC175" s="629"/>
      <c r="AD175" s="629"/>
      <c r="AE175" s="629"/>
    </row>
    <row r="176" spans="1:31" s="628" customFormat="1" ht="13" x14ac:dyDescent="0.3">
      <c r="A176" s="646"/>
      <c r="B176" s="689"/>
      <c r="C176" s="630"/>
      <c r="D176" s="668"/>
      <c r="E176" s="691"/>
      <c r="F176" s="629"/>
      <c r="G176" s="629"/>
      <c r="H176" s="629"/>
      <c r="I176" s="691"/>
      <c r="J176" s="629"/>
      <c r="K176" s="629"/>
      <c r="L176" s="629"/>
      <c r="M176" s="629"/>
      <c r="N176" s="629"/>
      <c r="O176" s="629"/>
      <c r="P176" s="629"/>
      <c r="Q176" s="629"/>
      <c r="R176" s="629"/>
      <c r="S176" s="629"/>
      <c r="T176" s="629"/>
      <c r="U176" s="629"/>
      <c r="V176" s="629"/>
      <c r="W176" s="629"/>
      <c r="X176" s="629"/>
      <c r="Y176" s="629"/>
      <c r="Z176" s="629"/>
      <c r="AA176" s="629"/>
      <c r="AB176" s="629"/>
      <c r="AC176" s="629"/>
      <c r="AD176" s="629"/>
      <c r="AE176" s="629"/>
    </row>
    <row r="177" spans="1:31" s="628" customFormat="1" ht="13" x14ac:dyDescent="0.3">
      <c r="A177" s="646"/>
      <c r="B177" s="689"/>
      <c r="C177" s="630"/>
      <c r="D177" s="668"/>
      <c r="E177" s="691"/>
      <c r="F177" s="629"/>
      <c r="G177" s="629"/>
      <c r="H177" s="629"/>
      <c r="I177" s="691"/>
      <c r="J177" s="629"/>
      <c r="K177" s="629"/>
      <c r="L177" s="629"/>
      <c r="M177" s="629"/>
      <c r="N177" s="629"/>
      <c r="O177" s="629"/>
      <c r="P177" s="629"/>
      <c r="Q177" s="629"/>
      <c r="R177" s="629"/>
      <c r="S177" s="629"/>
      <c r="T177" s="629"/>
      <c r="U177" s="629"/>
      <c r="V177" s="629"/>
      <c r="W177" s="629"/>
      <c r="X177" s="629"/>
      <c r="Y177" s="629"/>
      <c r="Z177" s="629"/>
      <c r="AA177" s="629"/>
      <c r="AB177" s="629"/>
      <c r="AC177" s="629"/>
      <c r="AD177" s="629"/>
      <c r="AE177" s="629"/>
    </row>
    <row r="178" spans="1:31" s="628" customFormat="1" ht="13" x14ac:dyDescent="0.3">
      <c r="A178" s="646"/>
      <c r="B178" s="689"/>
      <c r="C178" s="630"/>
      <c r="D178" s="668"/>
      <c r="E178" s="691"/>
      <c r="F178" s="629"/>
      <c r="G178" s="629"/>
      <c r="H178" s="629"/>
      <c r="I178" s="691"/>
      <c r="J178" s="629"/>
      <c r="K178" s="629"/>
      <c r="L178" s="629"/>
      <c r="M178" s="629"/>
      <c r="N178" s="629"/>
      <c r="O178" s="629"/>
      <c r="P178" s="629"/>
      <c r="Q178" s="629"/>
      <c r="R178" s="629"/>
      <c r="S178" s="629"/>
      <c r="T178" s="629"/>
      <c r="U178" s="629"/>
      <c r="V178" s="629"/>
      <c r="W178" s="629"/>
      <c r="X178" s="629"/>
      <c r="Y178" s="629"/>
      <c r="Z178" s="629"/>
      <c r="AA178" s="629"/>
      <c r="AB178" s="629"/>
      <c r="AC178" s="629"/>
      <c r="AD178" s="629"/>
      <c r="AE178" s="629"/>
    </row>
    <row r="179" spans="1:31" s="628" customFormat="1" ht="13" x14ac:dyDescent="0.3">
      <c r="A179" s="646"/>
      <c r="B179" s="689"/>
      <c r="C179" s="630"/>
      <c r="D179" s="668"/>
      <c r="E179" s="691"/>
      <c r="F179" s="629"/>
      <c r="G179" s="629"/>
      <c r="H179" s="629"/>
      <c r="I179" s="691"/>
      <c r="J179" s="629"/>
      <c r="K179" s="629"/>
      <c r="L179" s="629"/>
      <c r="M179" s="629"/>
      <c r="N179" s="629"/>
      <c r="O179" s="629"/>
      <c r="P179" s="629"/>
      <c r="Q179" s="629"/>
      <c r="R179" s="629"/>
      <c r="S179" s="629"/>
      <c r="T179" s="629"/>
      <c r="U179" s="629"/>
      <c r="V179" s="629"/>
      <c r="W179" s="629"/>
      <c r="X179" s="629"/>
      <c r="Y179" s="629"/>
      <c r="Z179" s="629"/>
      <c r="AA179" s="629"/>
      <c r="AB179" s="629"/>
      <c r="AC179" s="629"/>
      <c r="AD179" s="629"/>
      <c r="AE179" s="629"/>
    </row>
    <row r="180" spans="1:31" s="628" customFormat="1" ht="13" x14ac:dyDescent="0.3">
      <c r="A180" s="646"/>
      <c r="B180" s="689"/>
      <c r="C180" s="630"/>
      <c r="D180" s="668"/>
      <c r="E180" s="691"/>
      <c r="F180" s="629"/>
      <c r="G180" s="629"/>
      <c r="H180" s="629"/>
      <c r="I180" s="691"/>
      <c r="J180" s="629"/>
      <c r="K180" s="629"/>
      <c r="L180" s="629"/>
      <c r="M180" s="629"/>
      <c r="N180" s="629"/>
      <c r="O180" s="629"/>
      <c r="P180" s="629"/>
      <c r="Q180" s="629"/>
      <c r="R180" s="629"/>
      <c r="S180" s="629"/>
      <c r="T180" s="629"/>
      <c r="U180" s="629"/>
      <c r="V180" s="629"/>
      <c r="W180" s="629"/>
      <c r="X180" s="629"/>
      <c r="Y180" s="629"/>
      <c r="Z180" s="629"/>
      <c r="AA180" s="629"/>
      <c r="AB180" s="629"/>
      <c r="AC180" s="629"/>
      <c r="AD180" s="629"/>
      <c r="AE180" s="629"/>
    </row>
    <row r="181" spans="1:31" s="628" customFormat="1" ht="13" x14ac:dyDescent="0.3">
      <c r="A181" s="646"/>
      <c r="B181" s="689"/>
      <c r="C181" s="630"/>
      <c r="D181" s="668"/>
      <c r="E181" s="691"/>
      <c r="F181" s="629"/>
      <c r="G181" s="629"/>
      <c r="H181" s="629"/>
      <c r="I181" s="691"/>
      <c r="J181" s="629"/>
      <c r="K181" s="629"/>
      <c r="L181" s="629"/>
      <c r="M181" s="629"/>
      <c r="N181" s="629"/>
      <c r="O181" s="629"/>
      <c r="P181" s="629"/>
      <c r="Q181" s="629"/>
      <c r="R181" s="629"/>
      <c r="S181" s="629"/>
      <c r="T181" s="629"/>
      <c r="U181" s="629"/>
      <c r="V181" s="629"/>
      <c r="W181" s="629"/>
      <c r="X181" s="629"/>
      <c r="Y181" s="629"/>
      <c r="Z181" s="629"/>
      <c r="AA181" s="629"/>
      <c r="AB181" s="629"/>
      <c r="AC181" s="629"/>
      <c r="AD181" s="629"/>
      <c r="AE181" s="629"/>
    </row>
    <row r="182" spans="1:31" s="628" customFormat="1" ht="13" x14ac:dyDescent="0.3">
      <c r="A182" s="646"/>
      <c r="B182" s="689"/>
      <c r="C182" s="630"/>
      <c r="D182" s="668"/>
      <c r="E182" s="691"/>
      <c r="F182" s="629"/>
      <c r="G182" s="629"/>
      <c r="H182" s="629"/>
      <c r="I182" s="691"/>
      <c r="J182" s="629"/>
      <c r="K182" s="629"/>
      <c r="L182" s="629"/>
      <c r="M182" s="629"/>
      <c r="N182" s="629"/>
      <c r="O182" s="629"/>
      <c r="P182" s="629"/>
      <c r="Q182" s="629"/>
      <c r="R182" s="629"/>
      <c r="S182" s="629"/>
      <c r="T182" s="629"/>
      <c r="U182" s="629"/>
      <c r="V182" s="629"/>
      <c r="W182" s="629"/>
      <c r="X182" s="629"/>
      <c r="Y182" s="629"/>
      <c r="Z182" s="629"/>
      <c r="AA182" s="629"/>
      <c r="AB182" s="629"/>
      <c r="AC182" s="629"/>
      <c r="AD182" s="629"/>
      <c r="AE182" s="629"/>
    </row>
    <row r="183" spans="1:31" s="628" customFormat="1" ht="13" x14ac:dyDescent="0.3">
      <c r="A183" s="646"/>
      <c r="B183" s="689"/>
      <c r="C183" s="630"/>
      <c r="D183" s="668"/>
      <c r="E183" s="691"/>
      <c r="F183" s="629"/>
      <c r="G183" s="629"/>
      <c r="H183" s="629"/>
      <c r="I183" s="691"/>
      <c r="J183" s="629"/>
      <c r="K183" s="629"/>
      <c r="L183" s="629"/>
      <c r="M183" s="629"/>
      <c r="N183" s="629"/>
      <c r="O183" s="629"/>
      <c r="P183" s="629"/>
      <c r="Q183" s="629"/>
      <c r="R183" s="629"/>
      <c r="S183" s="629"/>
      <c r="T183" s="629"/>
      <c r="U183" s="629"/>
      <c r="V183" s="629"/>
      <c r="W183" s="629"/>
      <c r="X183" s="629"/>
      <c r="Y183" s="629"/>
      <c r="Z183" s="629"/>
      <c r="AA183" s="629"/>
      <c r="AB183" s="629"/>
      <c r="AC183" s="629"/>
      <c r="AD183" s="629"/>
      <c r="AE183" s="629"/>
    </row>
    <row r="184" spans="1:31" s="628" customFormat="1" ht="13" x14ac:dyDescent="0.3">
      <c r="A184" s="646"/>
      <c r="B184" s="689"/>
      <c r="C184" s="630"/>
      <c r="D184" s="668"/>
      <c r="E184" s="691"/>
      <c r="F184" s="629"/>
      <c r="G184" s="629"/>
      <c r="H184" s="629"/>
      <c r="I184" s="691"/>
      <c r="J184" s="629"/>
      <c r="K184" s="629"/>
      <c r="L184" s="629"/>
      <c r="M184" s="629"/>
      <c r="N184" s="629"/>
      <c r="O184" s="629"/>
      <c r="P184" s="629"/>
      <c r="Q184" s="629"/>
      <c r="R184" s="629"/>
      <c r="S184" s="629"/>
      <c r="T184" s="629"/>
      <c r="U184" s="629"/>
      <c r="V184" s="629"/>
      <c r="W184" s="629"/>
      <c r="X184" s="629"/>
      <c r="Y184" s="629"/>
      <c r="Z184" s="629"/>
      <c r="AA184" s="629"/>
      <c r="AB184" s="629"/>
      <c r="AC184" s="629"/>
      <c r="AD184" s="629"/>
      <c r="AE184" s="629"/>
    </row>
    <row r="185" spans="1:31" s="628" customFormat="1" ht="13" x14ac:dyDescent="0.3">
      <c r="A185" s="646"/>
      <c r="B185" s="689"/>
      <c r="C185" s="630"/>
      <c r="D185" s="668"/>
      <c r="E185" s="691"/>
      <c r="F185" s="629"/>
      <c r="G185" s="629"/>
      <c r="H185" s="629"/>
      <c r="I185" s="691"/>
      <c r="J185" s="629"/>
      <c r="K185" s="629"/>
      <c r="L185" s="629"/>
      <c r="M185" s="629"/>
      <c r="N185" s="629"/>
      <c r="O185" s="629"/>
      <c r="P185" s="629"/>
      <c r="Q185" s="629"/>
      <c r="R185" s="629"/>
      <c r="S185" s="629"/>
      <c r="T185" s="629"/>
      <c r="U185" s="629"/>
      <c r="V185" s="629"/>
      <c r="W185" s="629"/>
      <c r="X185" s="629"/>
      <c r="Y185" s="629"/>
      <c r="Z185" s="629"/>
      <c r="AA185" s="629"/>
      <c r="AB185" s="629"/>
      <c r="AC185" s="629"/>
      <c r="AD185" s="629"/>
      <c r="AE185" s="629"/>
    </row>
    <row r="186" spans="1:31" s="628" customFormat="1" ht="13" x14ac:dyDescent="0.3">
      <c r="A186" s="646"/>
      <c r="B186" s="689"/>
      <c r="C186" s="630"/>
      <c r="D186" s="668"/>
      <c r="E186" s="691"/>
      <c r="F186" s="629"/>
      <c r="G186" s="629"/>
      <c r="H186" s="629"/>
      <c r="I186" s="691"/>
      <c r="J186" s="629"/>
      <c r="K186" s="629"/>
      <c r="L186" s="629"/>
      <c r="M186" s="629"/>
      <c r="N186" s="629"/>
      <c r="O186" s="629"/>
      <c r="P186" s="629"/>
      <c r="Q186" s="629"/>
      <c r="R186" s="629"/>
      <c r="S186" s="629"/>
      <c r="T186" s="629"/>
      <c r="U186" s="629"/>
      <c r="V186" s="629"/>
      <c r="W186" s="629"/>
      <c r="X186" s="629"/>
      <c r="Y186" s="629"/>
      <c r="Z186" s="629"/>
      <c r="AA186" s="629"/>
      <c r="AB186" s="629"/>
      <c r="AC186" s="629"/>
      <c r="AD186" s="629"/>
      <c r="AE186" s="629"/>
    </row>
    <row r="187" spans="1:31" s="628" customFormat="1" ht="13" x14ac:dyDescent="0.3">
      <c r="A187" s="646"/>
      <c r="B187" s="689"/>
      <c r="C187" s="630"/>
      <c r="D187" s="668"/>
      <c r="E187" s="691"/>
      <c r="F187" s="629"/>
      <c r="G187" s="629"/>
      <c r="H187" s="629"/>
      <c r="I187" s="691"/>
      <c r="J187" s="629"/>
      <c r="K187" s="629"/>
      <c r="L187" s="629"/>
      <c r="M187" s="629"/>
      <c r="N187" s="629"/>
      <c r="O187" s="629"/>
      <c r="P187" s="629"/>
      <c r="Q187" s="629"/>
      <c r="R187" s="629"/>
      <c r="S187" s="629"/>
      <c r="T187" s="629"/>
      <c r="U187" s="629"/>
      <c r="V187" s="629"/>
      <c r="W187" s="629"/>
      <c r="X187" s="629"/>
      <c r="Y187" s="629"/>
      <c r="Z187" s="629"/>
      <c r="AA187" s="629"/>
      <c r="AB187" s="629"/>
      <c r="AC187" s="629"/>
      <c r="AD187" s="629"/>
      <c r="AE187" s="629"/>
    </row>
    <row r="188" spans="1:31" s="628" customFormat="1" ht="13" x14ac:dyDescent="0.3">
      <c r="A188" s="646"/>
      <c r="B188" s="689"/>
      <c r="C188" s="630"/>
      <c r="D188" s="668"/>
      <c r="E188" s="691"/>
      <c r="F188" s="629"/>
      <c r="G188" s="629"/>
      <c r="H188" s="629"/>
      <c r="I188" s="691"/>
      <c r="J188" s="629"/>
      <c r="K188" s="629"/>
      <c r="L188" s="629"/>
      <c r="M188" s="629"/>
      <c r="N188" s="629"/>
      <c r="O188" s="629"/>
      <c r="P188" s="629"/>
      <c r="Q188" s="629"/>
      <c r="R188" s="629"/>
      <c r="S188" s="629"/>
      <c r="T188" s="629"/>
      <c r="U188" s="629"/>
      <c r="V188" s="629"/>
      <c r="W188" s="629"/>
      <c r="X188" s="629"/>
      <c r="Y188" s="629"/>
      <c r="Z188" s="629"/>
      <c r="AA188" s="629"/>
      <c r="AB188" s="629"/>
      <c r="AC188" s="629"/>
      <c r="AD188" s="629"/>
      <c r="AE188" s="629"/>
    </row>
    <row r="189" spans="1:31" s="628" customFormat="1" ht="13" x14ac:dyDescent="0.3">
      <c r="A189" s="646"/>
      <c r="B189" s="689"/>
      <c r="C189" s="630"/>
      <c r="D189" s="668"/>
      <c r="E189" s="691"/>
      <c r="F189" s="629"/>
      <c r="G189" s="629"/>
      <c r="H189" s="629"/>
      <c r="I189" s="691"/>
      <c r="J189" s="629"/>
      <c r="K189" s="629"/>
      <c r="L189" s="629"/>
      <c r="M189" s="629"/>
      <c r="N189" s="629"/>
      <c r="O189" s="629"/>
      <c r="P189" s="629"/>
      <c r="Q189" s="629"/>
      <c r="R189" s="629"/>
      <c r="S189" s="629"/>
      <c r="T189" s="629"/>
      <c r="U189" s="629"/>
      <c r="V189" s="629"/>
      <c r="W189" s="629"/>
      <c r="X189" s="629"/>
      <c r="Y189" s="629"/>
      <c r="Z189" s="629"/>
      <c r="AA189" s="629"/>
      <c r="AB189" s="629"/>
      <c r="AC189" s="629"/>
      <c r="AD189" s="629"/>
      <c r="AE189" s="629"/>
    </row>
    <row r="190" spans="1:31" s="628" customFormat="1" ht="13" x14ac:dyDescent="0.3">
      <c r="A190" s="646"/>
      <c r="B190" s="689"/>
      <c r="C190" s="630"/>
      <c r="D190" s="668"/>
      <c r="E190" s="691"/>
      <c r="F190" s="629"/>
      <c r="G190" s="629"/>
      <c r="H190" s="629"/>
      <c r="I190" s="691"/>
      <c r="J190" s="629"/>
      <c r="K190" s="629"/>
      <c r="L190" s="629"/>
      <c r="M190" s="629"/>
      <c r="N190" s="629"/>
      <c r="O190" s="629"/>
      <c r="P190" s="629"/>
      <c r="Q190" s="629"/>
      <c r="R190" s="629"/>
      <c r="S190" s="629"/>
      <c r="T190" s="629"/>
      <c r="U190" s="629"/>
      <c r="V190" s="629"/>
      <c r="W190" s="629"/>
      <c r="X190" s="629"/>
      <c r="Y190" s="629"/>
      <c r="Z190" s="629"/>
      <c r="AA190" s="629"/>
      <c r="AB190" s="629"/>
      <c r="AC190" s="629"/>
      <c r="AD190" s="629"/>
      <c r="AE190" s="629"/>
    </row>
    <row r="191" spans="1:31" s="628" customFormat="1" ht="13" x14ac:dyDescent="0.3">
      <c r="A191" s="646"/>
      <c r="B191" s="689"/>
      <c r="C191" s="630"/>
      <c r="D191" s="668"/>
      <c r="E191" s="691"/>
      <c r="F191" s="629"/>
      <c r="G191" s="629"/>
      <c r="H191" s="629"/>
      <c r="I191" s="691"/>
      <c r="J191" s="629"/>
      <c r="K191" s="629"/>
      <c r="L191" s="629"/>
      <c r="M191" s="629"/>
      <c r="N191" s="629"/>
      <c r="O191" s="629"/>
      <c r="P191" s="629"/>
      <c r="Q191" s="629"/>
      <c r="R191" s="629"/>
      <c r="S191" s="629"/>
      <c r="T191" s="629"/>
      <c r="U191" s="629"/>
      <c r="V191" s="629"/>
      <c r="W191" s="629"/>
      <c r="X191" s="629"/>
      <c r="Y191" s="629"/>
      <c r="Z191" s="629"/>
      <c r="AA191" s="629"/>
      <c r="AB191" s="629"/>
      <c r="AC191" s="629"/>
      <c r="AD191" s="629"/>
      <c r="AE191" s="629"/>
    </row>
    <row r="192" spans="1:31" s="628" customFormat="1" ht="13" x14ac:dyDescent="0.3">
      <c r="A192" s="646"/>
      <c r="B192" s="689"/>
      <c r="C192" s="630"/>
      <c r="D192" s="668"/>
      <c r="E192" s="691"/>
      <c r="F192" s="629"/>
      <c r="G192" s="629"/>
      <c r="H192" s="629"/>
      <c r="I192" s="691"/>
      <c r="J192" s="629"/>
      <c r="K192" s="629"/>
      <c r="L192" s="629"/>
      <c r="M192" s="629"/>
      <c r="N192" s="629"/>
      <c r="O192" s="629"/>
      <c r="P192" s="629"/>
      <c r="Q192" s="629"/>
      <c r="R192" s="629"/>
      <c r="S192" s="629"/>
      <c r="T192" s="629"/>
      <c r="U192" s="629"/>
      <c r="V192" s="629"/>
      <c r="W192" s="629"/>
      <c r="X192" s="629"/>
      <c r="Y192" s="629"/>
      <c r="Z192" s="629"/>
      <c r="AA192" s="629"/>
      <c r="AB192" s="629"/>
      <c r="AC192" s="629"/>
      <c r="AD192" s="629"/>
      <c r="AE192" s="629"/>
    </row>
    <row r="193" spans="1:31" s="628" customFormat="1" ht="13" x14ac:dyDescent="0.3">
      <c r="A193" s="646"/>
      <c r="B193" s="689"/>
      <c r="C193" s="630"/>
      <c r="D193" s="668"/>
      <c r="E193" s="691"/>
      <c r="F193" s="629"/>
      <c r="G193" s="629"/>
      <c r="H193" s="629"/>
      <c r="I193" s="691"/>
      <c r="J193" s="629"/>
      <c r="K193" s="629"/>
      <c r="L193" s="629"/>
      <c r="M193" s="629"/>
      <c r="N193" s="629"/>
      <c r="O193" s="629"/>
      <c r="P193" s="629"/>
      <c r="Q193" s="629"/>
      <c r="R193" s="629"/>
      <c r="S193" s="629"/>
      <c r="T193" s="629"/>
      <c r="U193" s="629"/>
      <c r="V193" s="629"/>
      <c r="W193" s="629"/>
      <c r="X193" s="629"/>
      <c r="Y193" s="629"/>
      <c r="Z193" s="629"/>
      <c r="AA193" s="629"/>
      <c r="AB193" s="629"/>
      <c r="AC193" s="629"/>
      <c r="AD193" s="629"/>
      <c r="AE193" s="629"/>
    </row>
    <row r="194" spans="1:31" s="628" customFormat="1" ht="13" x14ac:dyDescent="0.3">
      <c r="A194" s="646"/>
      <c r="B194" s="689"/>
      <c r="C194" s="630"/>
      <c r="D194" s="668"/>
      <c r="E194" s="691"/>
      <c r="F194" s="629"/>
      <c r="G194" s="629"/>
      <c r="H194" s="629"/>
      <c r="I194" s="691"/>
      <c r="J194" s="629"/>
      <c r="K194" s="629"/>
      <c r="L194" s="629"/>
      <c r="M194" s="629"/>
      <c r="N194" s="629"/>
      <c r="O194" s="629"/>
      <c r="P194" s="629"/>
      <c r="Q194" s="629"/>
      <c r="R194" s="629"/>
      <c r="S194" s="629"/>
      <c r="T194" s="629"/>
      <c r="U194" s="629"/>
      <c r="V194" s="629"/>
      <c r="W194" s="629"/>
      <c r="X194" s="629"/>
      <c r="Y194" s="629"/>
      <c r="Z194" s="629"/>
      <c r="AA194" s="629"/>
      <c r="AB194" s="629"/>
      <c r="AC194" s="629"/>
      <c r="AD194" s="629"/>
      <c r="AE194" s="629"/>
    </row>
    <row r="195" spans="1:31" s="628" customFormat="1" ht="13" x14ac:dyDescent="0.3">
      <c r="A195" s="646"/>
      <c r="B195" s="689"/>
      <c r="C195" s="630"/>
      <c r="D195" s="668"/>
      <c r="E195" s="691"/>
      <c r="F195" s="629"/>
      <c r="G195" s="629"/>
      <c r="H195" s="629"/>
      <c r="I195" s="691"/>
      <c r="J195" s="629"/>
      <c r="K195" s="629"/>
      <c r="L195" s="629"/>
      <c r="M195" s="629"/>
      <c r="N195" s="629"/>
      <c r="O195" s="629"/>
      <c r="P195" s="629"/>
      <c r="Q195" s="629"/>
      <c r="R195" s="629"/>
      <c r="S195" s="629"/>
      <c r="T195" s="629"/>
      <c r="U195" s="629"/>
      <c r="V195" s="629"/>
      <c r="W195" s="629"/>
      <c r="X195" s="629"/>
      <c r="Y195" s="629"/>
      <c r="Z195" s="629"/>
      <c r="AA195" s="629"/>
      <c r="AB195" s="629"/>
      <c r="AC195" s="629"/>
      <c r="AD195" s="629"/>
      <c r="AE195" s="629"/>
    </row>
    <row r="196" spans="1:31" s="628" customFormat="1" ht="13" x14ac:dyDescent="0.3">
      <c r="A196" s="646"/>
      <c r="B196" s="689"/>
      <c r="C196" s="630"/>
      <c r="D196" s="668"/>
      <c r="E196" s="691"/>
      <c r="F196" s="629"/>
      <c r="G196" s="629"/>
      <c r="H196" s="629"/>
      <c r="I196" s="691"/>
      <c r="J196" s="629"/>
      <c r="K196" s="629"/>
      <c r="L196" s="629"/>
      <c r="M196" s="629"/>
      <c r="N196" s="629"/>
      <c r="O196" s="629"/>
      <c r="P196" s="629"/>
      <c r="Q196" s="629"/>
      <c r="R196" s="629"/>
      <c r="S196" s="629"/>
      <c r="T196" s="629"/>
      <c r="U196" s="629"/>
      <c r="V196" s="629"/>
      <c r="W196" s="629"/>
      <c r="X196" s="629"/>
      <c r="Y196" s="629"/>
      <c r="Z196" s="629"/>
      <c r="AA196" s="629"/>
      <c r="AB196" s="629"/>
      <c r="AC196" s="629"/>
      <c r="AD196" s="629"/>
      <c r="AE196" s="629"/>
    </row>
    <row r="197" spans="1:31" s="628" customFormat="1" ht="13" x14ac:dyDescent="0.3">
      <c r="A197" s="646"/>
      <c r="B197" s="689"/>
      <c r="C197" s="630"/>
      <c r="D197" s="668"/>
      <c r="E197" s="691"/>
      <c r="F197" s="629"/>
      <c r="G197" s="629"/>
      <c r="H197" s="629"/>
      <c r="I197" s="691"/>
      <c r="J197" s="629"/>
      <c r="K197" s="629"/>
      <c r="L197" s="629"/>
      <c r="M197" s="629"/>
      <c r="N197" s="629"/>
      <c r="O197" s="629"/>
      <c r="P197" s="629"/>
      <c r="Q197" s="629"/>
      <c r="R197" s="629"/>
      <c r="S197" s="629"/>
      <c r="T197" s="629"/>
      <c r="U197" s="629"/>
      <c r="V197" s="629"/>
      <c r="W197" s="629"/>
      <c r="X197" s="629"/>
      <c r="Y197" s="629"/>
      <c r="Z197" s="629"/>
      <c r="AA197" s="629"/>
      <c r="AB197" s="629"/>
      <c r="AC197" s="629"/>
      <c r="AD197" s="629"/>
      <c r="AE197" s="629"/>
    </row>
    <row r="198" spans="1:31" s="628" customFormat="1" ht="13" x14ac:dyDescent="0.3">
      <c r="A198" s="646"/>
      <c r="B198" s="689"/>
      <c r="C198" s="630"/>
      <c r="D198" s="668"/>
      <c r="E198" s="691"/>
      <c r="F198" s="629"/>
      <c r="G198" s="629"/>
      <c r="H198" s="629"/>
      <c r="I198" s="691"/>
      <c r="J198" s="629"/>
      <c r="K198" s="629"/>
      <c r="L198" s="629"/>
      <c r="M198" s="629"/>
      <c r="N198" s="629"/>
      <c r="O198" s="629"/>
      <c r="P198" s="629"/>
      <c r="Q198" s="629"/>
      <c r="R198" s="629"/>
      <c r="S198" s="629"/>
      <c r="T198" s="629"/>
      <c r="U198" s="629"/>
      <c r="V198" s="629"/>
      <c r="W198" s="629"/>
      <c r="X198" s="629"/>
      <c r="Y198" s="629"/>
      <c r="Z198" s="629"/>
      <c r="AA198" s="629"/>
      <c r="AB198" s="629"/>
      <c r="AC198" s="629"/>
      <c r="AD198" s="629"/>
      <c r="AE198" s="629"/>
    </row>
    <row r="199" spans="1:31" s="628" customFormat="1" ht="13" x14ac:dyDescent="0.3">
      <c r="A199" s="646"/>
      <c r="B199" s="689"/>
      <c r="C199" s="630"/>
      <c r="D199" s="668"/>
      <c r="E199" s="691"/>
      <c r="F199" s="629"/>
      <c r="G199" s="629"/>
      <c r="H199" s="629"/>
      <c r="I199" s="691"/>
      <c r="J199" s="629"/>
      <c r="K199" s="629"/>
      <c r="L199" s="629"/>
      <c r="M199" s="629"/>
      <c r="N199" s="629"/>
      <c r="O199" s="629"/>
      <c r="P199" s="629"/>
      <c r="Q199" s="629"/>
      <c r="R199" s="629"/>
      <c r="S199" s="629"/>
      <c r="T199" s="629"/>
      <c r="U199" s="629"/>
      <c r="V199" s="629"/>
      <c r="W199" s="629"/>
      <c r="X199" s="629"/>
      <c r="Y199" s="629"/>
      <c r="Z199" s="629"/>
      <c r="AA199" s="629"/>
      <c r="AB199" s="629"/>
      <c r="AC199" s="629"/>
      <c r="AD199" s="629"/>
      <c r="AE199" s="629"/>
    </row>
    <row r="200" spans="1:31" s="628" customFormat="1" ht="13" x14ac:dyDescent="0.3">
      <c r="A200" s="646"/>
      <c r="B200" s="689"/>
      <c r="C200" s="630"/>
      <c r="D200" s="668"/>
      <c r="E200" s="691"/>
      <c r="F200" s="629"/>
      <c r="G200" s="629"/>
      <c r="H200" s="629"/>
      <c r="I200" s="691"/>
      <c r="J200" s="629"/>
      <c r="K200" s="629"/>
      <c r="L200" s="629"/>
      <c r="M200" s="629"/>
      <c r="N200" s="629"/>
      <c r="O200" s="629"/>
      <c r="P200" s="629"/>
      <c r="Q200" s="629"/>
      <c r="R200" s="629"/>
      <c r="S200" s="629"/>
      <c r="T200" s="629"/>
      <c r="U200" s="629"/>
      <c r="V200" s="629"/>
      <c r="W200" s="629"/>
      <c r="X200" s="629"/>
      <c r="Y200" s="629"/>
      <c r="Z200" s="629"/>
      <c r="AA200" s="629"/>
      <c r="AB200" s="629"/>
      <c r="AC200" s="629"/>
      <c r="AD200" s="629"/>
      <c r="AE200" s="629"/>
    </row>
    <row r="201" spans="1:31" s="628" customFormat="1" ht="13" x14ac:dyDescent="0.3">
      <c r="A201" s="646"/>
      <c r="B201" s="689"/>
      <c r="C201" s="630"/>
      <c r="D201" s="668"/>
      <c r="E201" s="691"/>
      <c r="F201" s="629"/>
      <c r="G201" s="629"/>
      <c r="H201" s="629"/>
      <c r="I201" s="691"/>
      <c r="J201" s="629"/>
      <c r="K201" s="629"/>
      <c r="L201" s="629"/>
      <c r="M201" s="629"/>
      <c r="N201" s="629"/>
      <c r="O201" s="629"/>
      <c r="P201" s="629"/>
      <c r="Q201" s="629"/>
      <c r="R201" s="629"/>
      <c r="S201" s="629"/>
      <c r="T201" s="629"/>
      <c r="U201" s="629"/>
      <c r="V201" s="629"/>
      <c r="W201" s="629"/>
      <c r="X201" s="629"/>
      <c r="Y201" s="629"/>
      <c r="Z201" s="629"/>
      <c r="AA201" s="629"/>
      <c r="AB201" s="629"/>
      <c r="AC201" s="629"/>
      <c r="AD201" s="629"/>
      <c r="AE201" s="629"/>
    </row>
    <row r="202" spans="1:31" s="628" customFormat="1" ht="13" x14ac:dyDescent="0.3">
      <c r="A202" s="646"/>
      <c r="B202" s="689"/>
      <c r="C202" s="630"/>
      <c r="D202" s="668"/>
      <c r="E202" s="691"/>
      <c r="F202" s="629"/>
      <c r="G202" s="629"/>
      <c r="H202" s="629"/>
      <c r="I202" s="691"/>
      <c r="J202" s="629"/>
      <c r="K202" s="629"/>
      <c r="L202" s="629"/>
      <c r="M202" s="629"/>
      <c r="N202" s="629"/>
      <c r="O202" s="629"/>
      <c r="P202" s="629"/>
      <c r="Q202" s="629"/>
      <c r="R202" s="629"/>
      <c r="S202" s="629"/>
      <c r="T202" s="629"/>
      <c r="U202" s="629"/>
      <c r="V202" s="629"/>
      <c r="W202" s="629"/>
      <c r="X202" s="629"/>
      <c r="Y202" s="629"/>
      <c r="Z202" s="629"/>
      <c r="AA202" s="629"/>
      <c r="AB202" s="629"/>
      <c r="AC202" s="629"/>
      <c r="AD202" s="629"/>
      <c r="AE202" s="629"/>
    </row>
    <row r="203" spans="1:31" s="628" customFormat="1" ht="13" x14ac:dyDescent="0.3">
      <c r="A203" s="646"/>
      <c r="B203" s="689"/>
      <c r="C203" s="630"/>
      <c r="D203" s="668"/>
      <c r="E203" s="691"/>
      <c r="F203" s="629"/>
      <c r="G203" s="629"/>
      <c r="H203" s="629"/>
      <c r="I203" s="691"/>
      <c r="J203" s="629"/>
      <c r="K203" s="629"/>
      <c r="L203" s="629"/>
      <c r="M203" s="629"/>
      <c r="N203" s="629"/>
      <c r="O203" s="629"/>
      <c r="P203" s="629"/>
      <c r="Q203" s="629"/>
      <c r="R203" s="629"/>
      <c r="S203" s="629"/>
      <c r="T203" s="629"/>
      <c r="U203" s="629"/>
      <c r="V203" s="629"/>
      <c r="W203" s="629"/>
      <c r="X203" s="629"/>
      <c r="Y203" s="629"/>
      <c r="Z203" s="629"/>
      <c r="AA203" s="629"/>
      <c r="AB203" s="629"/>
      <c r="AC203" s="629"/>
      <c r="AD203" s="629"/>
      <c r="AE203" s="629"/>
    </row>
    <row r="204" spans="1:31" s="628" customFormat="1" ht="13" x14ac:dyDescent="0.3">
      <c r="A204" s="646"/>
      <c r="B204" s="689"/>
      <c r="C204" s="630"/>
      <c r="D204" s="668"/>
      <c r="E204" s="691"/>
      <c r="F204" s="629"/>
      <c r="G204" s="629"/>
      <c r="H204" s="629"/>
      <c r="I204" s="691"/>
      <c r="J204" s="629"/>
      <c r="K204" s="629"/>
      <c r="L204" s="629"/>
      <c r="M204" s="629"/>
      <c r="N204" s="629"/>
      <c r="O204" s="629"/>
      <c r="P204" s="629"/>
      <c r="Q204" s="629"/>
      <c r="R204" s="629"/>
      <c r="S204" s="629"/>
      <c r="T204" s="629"/>
      <c r="U204" s="629"/>
      <c r="V204" s="629"/>
      <c r="W204" s="629"/>
      <c r="X204" s="629"/>
      <c r="Y204" s="629"/>
      <c r="Z204" s="629"/>
      <c r="AA204" s="629"/>
      <c r="AB204" s="629"/>
      <c r="AC204" s="629"/>
      <c r="AD204" s="629"/>
      <c r="AE204" s="629"/>
    </row>
    <row r="205" spans="1:31" s="628" customFormat="1" ht="13" x14ac:dyDescent="0.3">
      <c r="A205" s="646"/>
      <c r="B205" s="689"/>
      <c r="C205" s="630"/>
      <c r="D205" s="668"/>
      <c r="E205" s="691"/>
      <c r="F205" s="629"/>
      <c r="G205" s="629"/>
      <c r="H205" s="629"/>
      <c r="I205" s="691"/>
      <c r="J205" s="629"/>
      <c r="K205" s="629"/>
      <c r="L205" s="629"/>
      <c r="M205" s="629"/>
      <c r="N205" s="629"/>
      <c r="O205" s="629"/>
      <c r="P205" s="629"/>
      <c r="Q205" s="629"/>
      <c r="R205" s="629"/>
      <c r="S205" s="629"/>
      <c r="T205" s="629"/>
      <c r="U205" s="629"/>
      <c r="V205" s="629"/>
      <c r="W205" s="629"/>
      <c r="X205" s="629"/>
      <c r="Y205" s="629"/>
      <c r="Z205" s="629"/>
      <c r="AA205" s="629"/>
      <c r="AB205" s="629"/>
      <c r="AC205" s="629"/>
      <c r="AD205" s="629"/>
      <c r="AE205" s="629"/>
    </row>
    <row r="206" spans="1:31" s="628" customFormat="1" ht="13" x14ac:dyDescent="0.3">
      <c r="A206" s="646"/>
      <c r="B206" s="689"/>
      <c r="C206" s="630"/>
      <c r="D206" s="668"/>
      <c r="E206" s="691"/>
      <c r="F206" s="629"/>
      <c r="G206" s="629"/>
      <c r="H206" s="629"/>
      <c r="I206" s="691"/>
      <c r="J206" s="629"/>
      <c r="K206" s="629"/>
      <c r="L206" s="629"/>
      <c r="M206" s="629"/>
      <c r="N206" s="629"/>
      <c r="O206" s="629"/>
      <c r="P206" s="629"/>
      <c r="Q206" s="629"/>
      <c r="R206" s="629"/>
      <c r="S206" s="629"/>
      <c r="T206" s="629"/>
      <c r="U206" s="629"/>
      <c r="V206" s="629"/>
      <c r="W206" s="629"/>
      <c r="X206" s="629"/>
      <c r="Y206" s="629"/>
      <c r="Z206" s="629"/>
      <c r="AA206" s="629"/>
      <c r="AB206" s="629"/>
      <c r="AC206" s="629"/>
      <c r="AD206" s="629"/>
      <c r="AE206" s="629"/>
    </row>
    <row r="207" spans="1:31" s="628" customFormat="1" ht="13" x14ac:dyDescent="0.3">
      <c r="A207" s="646"/>
      <c r="B207" s="689"/>
      <c r="C207" s="630"/>
      <c r="D207" s="668"/>
      <c r="E207" s="691"/>
      <c r="F207" s="629"/>
      <c r="G207" s="629"/>
      <c r="H207" s="629"/>
      <c r="I207" s="691"/>
      <c r="J207" s="629"/>
      <c r="K207" s="629"/>
      <c r="L207" s="629"/>
      <c r="M207" s="629"/>
      <c r="N207" s="629"/>
      <c r="O207" s="629"/>
      <c r="P207" s="629"/>
      <c r="Q207" s="629"/>
      <c r="R207" s="629"/>
      <c r="S207" s="629"/>
      <c r="T207" s="629"/>
      <c r="U207" s="629"/>
      <c r="V207" s="629"/>
      <c r="W207" s="629"/>
      <c r="X207" s="629"/>
      <c r="Y207" s="629"/>
      <c r="Z207" s="629"/>
      <c r="AA207" s="629"/>
      <c r="AB207" s="629"/>
      <c r="AC207" s="629"/>
      <c r="AD207" s="629"/>
      <c r="AE207" s="629"/>
    </row>
    <row r="208" spans="1:31" s="628" customFormat="1" ht="13" x14ac:dyDescent="0.3">
      <c r="A208" s="646"/>
      <c r="B208" s="689"/>
      <c r="C208" s="630"/>
      <c r="D208" s="668"/>
      <c r="E208" s="691"/>
      <c r="F208" s="629"/>
      <c r="G208" s="629"/>
      <c r="H208" s="629"/>
      <c r="I208" s="691"/>
      <c r="J208" s="629"/>
      <c r="K208" s="629"/>
      <c r="L208" s="629"/>
      <c r="M208" s="629"/>
      <c r="N208" s="629"/>
      <c r="O208" s="629"/>
      <c r="P208" s="629"/>
      <c r="Q208" s="629"/>
      <c r="R208" s="629"/>
      <c r="S208" s="629"/>
      <c r="T208" s="629"/>
      <c r="U208" s="629"/>
      <c r="V208" s="629"/>
      <c r="W208" s="629"/>
      <c r="X208" s="629"/>
      <c r="Y208" s="629"/>
      <c r="Z208" s="629"/>
      <c r="AA208" s="629"/>
      <c r="AB208" s="629"/>
      <c r="AC208" s="629"/>
      <c r="AD208" s="629"/>
      <c r="AE208" s="629"/>
    </row>
    <row r="209" spans="1:31" s="628" customFormat="1" ht="13" x14ac:dyDescent="0.3">
      <c r="A209" s="646"/>
      <c r="B209" s="689"/>
      <c r="C209" s="630"/>
      <c r="D209" s="668"/>
      <c r="E209" s="691"/>
      <c r="F209" s="629"/>
      <c r="G209" s="629"/>
      <c r="H209" s="629"/>
      <c r="I209" s="691"/>
      <c r="J209" s="629"/>
      <c r="K209" s="629"/>
      <c r="L209" s="629"/>
      <c r="M209" s="629"/>
      <c r="N209" s="629"/>
      <c r="O209" s="629"/>
      <c r="P209" s="629"/>
      <c r="Q209" s="629"/>
      <c r="R209" s="629"/>
      <c r="S209" s="629"/>
      <c r="T209" s="629"/>
      <c r="U209" s="629"/>
      <c r="V209" s="629"/>
      <c r="W209" s="629"/>
      <c r="X209" s="629"/>
      <c r="Y209" s="629"/>
      <c r="Z209" s="629"/>
      <c r="AA209" s="629"/>
      <c r="AB209" s="629"/>
      <c r="AC209" s="629"/>
      <c r="AD209" s="629"/>
      <c r="AE209" s="629"/>
    </row>
    <row r="210" spans="1:31" s="628" customFormat="1" ht="13" x14ac:dyDescent="0.3">
      <c r="A210" s="646"/>
      <c r="B210" s="689"/>
      <c r="C210" s="630"/>
      <c r="D210" s="668"/>
      <c r="E210" s="691"/>
      <c r="F210" s="629"/>
      <c r="G210" s="629"/>
      <c r="H210" s="629"/>
      <c r="I210" s="691"/>
      <c r="J210" s="629"/>
      <c r="K210" s="629"/>
      <c r="L210" s="629"/>
      <c r="M210" s="629"/>
      <c r="N210" s="629"/>
      <c r="O210" s="629"/>
      <c r="P210" s="629"/>
      <c r="Q210" s="629"/>
      <c r="R210" s="629"/>
      <c r="S210" s="629"/>
      <c r="T210" s="629"/>
      <c r="U210" s="629"/>
      <c r="V210" s="629"/>
      <c r="W210" s="629"/>
      <c r="X210" s="629"/>
      <c r="Y210" s="629"/>
      <c r="Z210" s="629"/>
      <c r="AA210" s="629"/>
      <c r="AB210" s="629"/>
      <c r="AC210" s="629"/>
      <c r="AD210" s="629"/>
      <c r="AE210" s="629"/>
    </row>
    <row r="211" spans="1:31" s="628" customFormat="1" ht="13" x14ac:dyDescent="0.3">
      <c r="A211" s="646"/>
      <c r="B211" s="689"/>
      <c r="C211" s="630"/>
      <c r="D211" s="668"/>
      <c r="E211" s="691"/>
      <c r="F211" s="629"/>
      <c r="G211" s="629"/>
      <c r="H211" s="629"/>
      <c r="I211" s="691"/>
      <c r="J211" s="629"/>
      <c r="K211" s="629"/>
      <c r="L211" s="629"/>
      <c r="M211" s="629"/>
      <c r="N211" s="629"/>
      <c r="O211" s="629"/>
      <c r="P211" s="629"/>
      <c r="Q211" s="629"/>
      <c r="R211" s="629"/>
      <c r="S211" s="629"/>
      <c r="T211" s="629"/>
      <c r="U211" s="629"/>
      <c r="V211" s="629"/>
      <c r="W211" s="629"/>
      <c r="X211" s="629"/>
      <c r="Y211" s="629"/>
      <c r="Z211" s="629"/>
      <c r="AA211" s="629"/>
      <c r="AB211" s="629"/>
      <c r="AC211" s="629"/>
      <c r="AD211" s="629"/>
      <c r="AE211" s="629"/>
    </row>
    <row r="212" spans="1:31" s="628" customFormat="1" ht="13" x14ac:dyDescent="0.3">
      <c r="A212" s="646"/>
      <c r="B212" s="689"/>
      <c r="C212" s="630"/>
      <c r="D212" s="668"/>
      <c r="E212" s="691"/>
      <c r="F212" s="629"/>
      <c r="G212" s="629"/>
      <c r="H212" s="629"/>
      <c r="I212" s="691"/>
      <c r="J212" s="629"/>
      <c r="K212" s="629"/>
      <c r="L212" s="629"/>
      <c r="M212" s="629"/>
      <c r="N212" s="629"/>
      <c r="O212" s="629"/>
      <c r="P212" s="629"/>
      <c r="Q212" s="629"/>
      <c r="R212" s="629"/>
      <c r="S212" s="629"/>
      <c r="T212" s="629"/>
      <c r="U212" s="629"/>
      <c r="V212" s="629"/>
      <c r="W212" s="629"/>
      <c r="X212" s="629"/>
      <c r="Y212" s="629"/>
      <c r="Z212" s="629"/>
      <c r="AA212" s="629"/>
      <c r="AB212" s="629"/>
      <c r="AC212" s="629"/>
      <c r="AD212" s="629"/>
      <c r="AE212" s="629"/>
    </row>
    <row r="213" spans="1:31" s="628" customFormat="1" ht="13" x14ac:dyDescent="0.3">
      <c r="A213" s="646"/>
      <c r="B213" s="689"/>
      <c r="C213" s="630"/>
      <c r="D213" s="668"/>
      <c r="E213" s="691"/>
      <c r="F213" s="629"/>
      <c r="G213" s="629"/>
      <c r="H213" s="629"/>
      <c r="I213" s="691"/>
      <c r="J213" s="629"/>
      <c r="K213" s="629"/>
      <c r="L213" s="629"/>
      <c r="M213" s="629"/>
      <c r="N213" s="629"/>
      <c r="O213" s="629"/>
      <c r="P213" s="629"/>
      <c r="Q213" s="629"/>
      <c r="R213" s="629"/>
      <c r="S213" s="629"/>
      <c r="T213" s="629"/>
      <c r="U213" s="629"/>
      <c r="V213" s="629"/>
      <c r="W213" s="629"/>
      <c r="X213" s="629"/>
      <c r="Y213" s="629"/>
      <c r="Z213" s="629"/>
      <c r="AA213" s="629"/>
      <c r="AB213" s="629"/>
      <c r="AC213" s="629"/>
      <c r="AD213" s="629"/>
      <c r="AE213" s="629"/>
    </row>
    <row r="214" spans="1:31" s="628" customFormat="1" ht="13" x14ac:dyDescent="0.3">
      <c r="A214" s="646"/>
      <c r="B214" s="689"/>
      <c r="C214" s="630"/>
      <c r="D214" s="668"/>
      <c r="E214" s="691"/>
      <c r="F214" s="629"/>
      <c r="G214" s="629"/>
      <c r="H214" s="629"/>
      <c r="I214" s="691"/>
      <c r="J214" s="629"/>
      <c r="K214" s="629"/>
      <c r="L214" s="629"/>
      <c r="M214" s="629"/>
      <c r="N214" s="629"/>
      <c r="O214" s="629"/>
      <c r="P214" s="629"/>
      <c r="Q214" s="629"/>
      <c r="R214" s="629"/>
      <c r="S214" s="629"/>
      <c r="T214" s="629"/>
      <c r="U214" s="629"/>
      <c r="V214" s="629"/>
      <c r="W214" s="629"/>
      <c r="X214" s="629"/>
      <c r="Y214" s="629"/>
      <c r="Z214" s="629"/>
      <c r="AA214" s="629"/>
      <c r="AB214" s="629"/>
      <c r="AC214" s="629"/>
      <c r="AD214" s="629"/>
      <c r="AE214" s="629"/>
    </row>
    <row r="215" spans="1:31" s="628" customFormat="1" ht="13" x14ac:dyDescent="0.3">
      <c r="A215" s="646"/>
      <c r="B215" s="689"/>
      <c r="C215" s="630"/>
      <c r="D215" s="668"/>
      <c r="E215" s="691"/>
      <c r="F215" s="629"/>
      <c r="G215" s="629"/>
      <c r="H215" s="629"/>
      <c r="I215" s="691"/>
      <c r="J215" s="629"/>
      <c r="K215" s="629"/>
      <c r="L215" s="629"/>
      <c r="M215" s="629"/>
      <c r="N215" s="629"/>
      <c r="O215" s="629"/>
      <c r="P215" s="629"/>
      <c r="Q215" s="629"/>
      <c r="R215" s="629"/>
      <c r="S215" s="629"/>
      <c r="T215" s="629"/>
      <c r="U215" s="629"/>
      <c r="V215" s="629"/>
      <c r="W215" s="629"/>
      <c r="X215" s="629"/>
      <c r="Y215" s="629"/>
      <c r="Z215" s="629"/>
      <c r="AA215" s="629"/>
      <c r="AB215" s="629"/>
      <c r="AC215" s="629"/>
      <c r="AD215" s="629"/>
      <c r="AE215" s="629"/>
    </row>
    <row r="216" spans="1:31" s="628" customFormat="1" ht="13" x14ac:dyDescent="0.3">
      <c r="A216" s="646"/>
      <c r="B216" s="689"/>
      <c r="C216" s="630"/>
      <c r="D216" s="668"/>
      <c r="E216" s="691"/>
      <c r="F216" s="629"/>
      <c r="G216" s="629"/>
      <c r="H216" s="629"/>
      <c r="I216" s="691"/>
      <c r="J216" s="629"/>
      <c r="K216" s="629"/>
      <c r="L216" s="629"/>
      <c r="M216" s="629"/>
      <c r="N216" s="629"/>
      <c r="O216" s="629"/>
      <c r="P216" s="629"/>
      <c r="Q216" s="629"/>
      <c r="R216" s="629"/>
      <c r="S216" s="629"/>
      <c r="T216" s="629"/>
      <c r="U216" s="629"/>
      <c r="V216" s="629"/>
      <c r="W216" s="629"/>
      <c r="X216" s="629"/>
      <c r="Y216" s="629"/>
      <c r="Z216" s="629"/>
      <c r="AA216" s="629"/>
      <c r="AB216" s="629"/>
      <c r="AC216" s="629"/>
      <c r="AD216" s="629"/>
      <c r="AE216" s="629"/>
    </row>
    <row r="217" spans="1:31" s="628" customFormat="1" ht="13" x14ac:dyDescent="0.3">
      <c r="A217" s="646"/>
      <c r="B217" s="689"/>
      <c r="C217" s="630"/>
      <c r="D217" s="668"/>
      <c r="E217" s="691"/>
      <c r="F217" s="629"/>
      <c r="G217" s="629"/>
      <c r="H217" s="629"/>
      <c r="I217" s="691"/>
      <c r="J217" s="629"/>
      <c r="K217" s="629"/>
      <c r="L217" s="629"/>
      <c r="M217" s="629"/>
      <c r="N217" s="629"/>
      <c r="O217" s="629"/>
      <c r="P217" s="629"/>
      <c r="Q217" s="629"/>
      <c r="R217" s="629"/>
      <c r="S217" s="629"/>
      <c r="T217" s="629"/>
      <c r="U217" s="629"/>
      <c r="V217" s="629"/>
      <c r="W217" s="629"/>
      <c r="X217" s="629"/>
      <c r="Y217" s="629"/>
      <c r="Z217" s="629"/>
      <c r="AA217" s="629"/>
      <c r="AB217" s="629"/>
      <c r="AC217" s="629"/>
      <c r="AD217" s="629"/>
      <c r="AE217" s="629"/>
    </row>
    <row r="218" spans="1:31" s="628" customFormat="1" ht="13" x14ac:dyDescent="0.3">
      <c r="A218" s="646"/>
      <c r="B218" s="689"/>
      <c r="C218" s="630"/>
      <c r="D218" s="668"/>
      <c r="E218" s="691"/>
      <c r="F218" s="629"/>
      <c r="G218" s="629"/>
      <c r="H218" s="629"/>
      <c r="I218" s="691"/>
      <c r="J218" s="629"/>
      <c r="K218" s="629"/>
      <c r="L218" s="629"/>
      <c r="M218" s="629"/>
      <c r="N218" s="629"/>
      <c r="O218" s="629"/>
      <c r="P218" s="629"/>
      <c r="Q218" s="629"/>
      <c r="R218" s="629"/>
      <c r="S218" s="629"/>
      <c r="T218" s="629"/>
      <c r="U218" s="629"/>
      <c r="V218" s="629"/>
      <c r="W218" s="629"/>
      <c r="X218" s="629"/>
      <c r="Y218" s="629"/>
      <c r="Z218" s="629"/>
      <c r="AA218" s="629"/>
      <c r="AB218" s="629"/>
      <c r="AC218" s="629"/>
      <c r="AD218" s="629"/>
      <c r="AE218" s="629"/>
    </row>
    <row r="219" spans="1:31" s="628" customFormat="1" ht="13" x14ac:dyDescent="0.3">
      <c r="A219" s="646"/>
      <c r="B219" s="689"/>
      <c r="C219" s="630"/>
      <c r="D219" s="668"/>
      <c r="E219" s="691"/>
      <c r="F219" s="629"/>
      <c r="G219" s="629"/>
      <c r="H219" s="629"/>
      <c r="I219" s="691"/>
      <c r="J219" s="629"/>
      <c r="K219" s="629"/>
      <c r="L219" s="629"/>
      <c r="M219" s="629"/>
      <c r="N219" s="629"/>
      <c r="O219" s="629"/>
      <c r="P219" s="629"/>
      <c r="Q219" s="629"/>
      <c r="R219" s="629"/>
      <c r="S219" s="629"/>
      <c r="T219" s="629"/>
      <c r="U219" s="629"/>
      <c r="V219" s="629"/>
      <c r="W219" s="629"/>
      <c r="X219" s="629"/>
      <c r="Y219" s="629"/>
      <c r="Z219" s="629"/>
      <c r="AA219" s="629"/>
      <c r="AB219" s="629"/>
      <c r="AC219" s="629"/>
      <c r="AD219" s="629"/>
      <c r="AE219" s="629"/>
    </row>
    <row r="220" spans="1:31" s="628" customFormat="1" ht="13" x14ac:dyDescent="0.3">
      <c r="A220" s="646"/>
      <c r="B220" s="689"/>
      <c r="C220" s="630"/>
      <c r="D220" s="668"/>
      <c r="E220" s="691"/>
      <c r="F220" s="629"/>
      <c r="G220" s="629"/>
      <c r="H220" s="629"/>
      <c r="I220" s="691"/>
      <c r="J220" s="629"/>
      <c r="K220" s="629"/>
      <c r="L220" s="629"/>
      <c r="M220" s="629"/>
      <c r="N220" s="629"/>
      <c r="O220" s="629"/>
      <c r="P220" s="629"/>
      <c r="Q220" s="629"/>
      <c r="R220" s="629"/>
      <c r="S220" s="629"/>
      <c r="T220" s="629"/>
      <c r="U220" s="629"/>
      <c r="V220" s="629"/>
      <c r="W220" s="629"/>
      <c r="X220" s="629"/>
      <c r="Y220" s="629"/>
      <c r="Z220" s="629"/>
      <c r="AA220" s="629"/>
      <c r="AB220" s="629"/>
      <c r="AC220" s="629"/>
      <c r="AD220" s="629"/>
      <c r="AE220" s="629"/>
    </row>
    <row r="221" spans="1:31" s="628" customFormat="1" ht="13" x14ac:dyDescent="0.3">
      <c r="A221" s="646"/>
      <c r="B221" s="689"/>
      <c r="C221" s="630"/>
      <c r="D221" s="668"/>
      <c r="E221" s="691"/>
      <c r="F221" s="629"/>
      <c r="G221" s="629"/>
      <c r="H221" s="629"/>
      <c r="I221" s="691"/>
      <c r="J221" s="629"/>
      <c r="K221" s="629"/>
      <c r="L221" s="629"/>
      <c r="M221" s="629"/>
      <c r="N221" s="629"/>
      <c r="O221" s="629"/>
      <c r="P221" s="629"/>
      <c r="Q221" s="629"/>
      <c r="R221" s="629"/>
      <c r="S221" s="629"/>
      <c r="T221" s="629"/>
      <c r="U221" s="629"/>
      <c r="V221" s="629"/>
      <c r="W221" s="629"/>
      <c r="X221" s="629"/>
      <c r="Y221" s="629"/>
      <c r="Z221" s="629"/>
      <c r="AA221" s="629"/>
      <c r="AB221" s="629"/>
      <c r="AC221" s="629"/>
      <c r="AD221" s="629"/>
      <c r="AE221" s="629"/>
    </row>
    <row r="222" spans="1:31" s="628" customFormat="1" ht="13" x14ac:dyDescent="0.3">
      <c r="A222" s="646"/>
      <c r="B222" s="689"/>
      <c r="C222" s="630"/>
      <c r="D222" s="668"/>
      <c r="E222" s="691"/>
      <c r="F222" s="629"/>
      <c r="G222" s="629"/>
      <c r="H222" s="629"/>
      <c r="I222" s="691"/>
      <c r="J222" s="629"/>
      <c r="K222" s="629"/>
      <c r="L222" s="629"/>
      <c r="M222" s="629"/>
      <c r="N222" s="629"/>
      <c r="O222" s="629"/>
      <c r="P222" s="629"/>
      <c r="Q222" s="629"/>
      <c r="R222" s="629"/>
      <c r="S222" s="629"/>
      <c r="T222" s="629"/>
      <c r="U222" s="629"/>
      <c r="V222" s="629"/>
      <c r="W222" s="629"/>
      <c r="X222" s="629"/>
      <c r="Y222" s="629"/>
      <c r="Z222" s="629"/>
      <c r="AA222" s="629"/>
      <c r="AB222" s="629"/>
      <c r="AC222" s="629"/>
      <c r="AD222" s="629"/>
      <c r="AE222" s="629"/>
    </row>
    <row r="223" spans="1:31" s="628" customFormat="1" ht="13" x14ac:dyDescent="0.3">
      <c r="A223" s="646"/>
      <c r="B223" s="689"/>
      <c r="C223" s="630"/>
      <c r="D223" s="668"/>
      <c r="E223" s="691"/>
      <c r="F223" s="629"/>
      <c r="G223" s="629"/>
      <c r="H223" s="629"/>
      <c r="I223" s="691"/>
      <c r="J223" s="629"/>
      <c r="K223" s="629"/>
      <c r="L223" s="629"/>
      <c r="M223" s="629"/>
      <c r="N223" s="629"/>
      <c r="O223" s="629"/>
      <c r="P223" s="629"/>
      <c r="Q223" s="629"/>
      <c r="R223" s="629"/>
      <c r="S223" s="629"/>
      <c r="T223" s="629"/>
      <c r="U223" s="629"/>
      <c r="V223" s="629"/>
      <c r="W223" s="629"/>
      <c r="X223" s="629"/>
      <c r="Y223" s="629"/>
      <c r="Z223" s="629"/>
      <c r="AA223" s="629"/>
      <c r="AB223" s="629"/>
      <c r="AC223" s="629"/>
      <c r="AD223" s="629"/>
      <c r="AE223" s="629"/>
    </row>
    <row r="224" spans="1:31" s="628" customFormat="1" ht="13" x14ac:dyDescent="0.3">
      <c r="A224" s="646"/>
      <c r="B224" s="689"/>
      <c r="C224" s="630"/>
      <c r="D224" s="668"/>
      <c r="E224" s="691"/>
      <c r="F224" s="629"/>
      <c r="G224" s="629"/>
      <c r="H224" s="629"/>
      <c r="I224" s="691"/>
      <c r="J224" s="629"/>
      <c r="K224" s="629"/>
      <c r="L224" s="629"/>
      <c r="M224" s="629"/>
      <c r="N224" s="629"/>
      <c r="O224" s="629"/>
      <c r="P224" s="629"/>
      <c r="Q224" s="629"/>
      <c r="R224" s="629"/>
      <c r="S224" s="629"/>
      <c r="T224" s="629"/>
      <c r="U224" s="629"/>
      <c r="V224" s="629"/>
      <c r="W224" s="629"/>
      <c r="X224" s="629"/>
      <c r="Y224" s="629"/>
      <c r="Z224" s="629"/>
      <c r="AA224" s="629"/>
      <c r="AB224" s="629"/>
      <c r="AC224" s="629"/>
      <c r="AD224" s="629"/>
      <c r="AE224" s="629"/>
    </row>
    <row r="225" spans="1:31" s="628" customFormat="1" ht="13" x14ac:dyDescent="0.3">
      <c r="A225" s="646"/>
      <c r="B225" s="689"/>
      <c r="C225" s="630"/>
      <c r="D225" s="668"/>
      <c r="E225" s="691"/>
      <c r="F225" s="629"/>
      <c r="G225" s="629"/>
      <c r="H225" s="629"/>
      <c r="I225" s="691"/>
      <c r="J225" s="629"/>
      <c r="K225" s="629"/>
      <c r="L225" s="629"/>
      <c r="M225" s="629"/>
      <c r="N225" s="629"/>
      <c r="O225" s="629"/>
      <c r="P225" s="629"/>
      <c r="Q225" s="629"/>
      <c r="R225" s="629"/>
      <c r="S225" s="629"/>
      <c r="T225" s="629"/>
      <c r="U225" s="629"/>
      <c r="V225" s="629"/>
      <c r="W225" s="629"/>
      <c r="X225" s="629"/>
      <c r="Y225" s="629"/>
      <c r="Z225" s="629"/>
      <c r="AA225" s="629"/>
      <c r="AB225" s="629"/>
      <c r="AC225" s="629"/>
      <c r="AD225" s="629"/>
      <c r="AE225" s="629"/>
    </row>
    <row r="226" spans="1:31" s="628" customFormat="1" ht="13" x14ac:dyDescent="0.3">
      <c r="A226" s="646"/>
      <c r="B226" s="689"/>
      <c r="C226" s="630"/>
      <c r="D226" s="668"/>
      <c r="E226" s="691"/>
      <c r="F226" s="629"/>
      <c r="G226" s="629"/>
      <c r="H226" s="629"/>
      <c r="I226" s="691"/>
      <c r="J226" s="629"/>
      <c r="K226" s="629"/>
      <c r="L226" s="629"/>
      <c r="M226" s="629"/>
      <c r="N226" s="629"/>
      <c r="O226" s="629"/>
      <c r="P226" s="629"/>
      <c r="Q226" s="629"/>
      <c r="R226" s="629"/>
      <c r="S226" s="629"/>
      <c r="T226" s="629"/>
      <c r="U226" s="629"/>
      <c r="V226" s="629"/>
      <c r="W226" s="629"/>
      <c r="X226" s="629"/>
      <c r="Y226" s="629"/>
      <c r="Z226" s="629"/>
      <c r="AA226" s="629"/>
      <c r="AB226" s="629"/>
      <c r="AC226" s="629"/>
      <c r="AD226" s="629"/>
      <c r="AE226" s="629"/>
    </row>
    <row r="227" spans="1:31" s="628" customFormat="1" ht="13" x14ac:dyDescent="0.3">
      <c r="A227" s="646"/>
      <c r="B227" s="689"/>
      <c r="C227" s="630"/>
      <c r="D227" s="668"/>
      <c r="E227" s="691"/>
      <c r="F227" s="629"/>
      <c r="G227" s="629"/>
      <c r="H227" s="629"/>
      <c r="I227" s="691"/>
      <c r="J227" s="629"/>
      <c r="K227" s="629"/>
      <c r="L227" s="629"/>
      <c r="M227" s="629"/>
      <c r="N227" s="629"/>
      <c r="O227" s="629"/>
      <c r="P227" s="629"/>
      <c r="Q227" s="629"/>
      <c r="R227" s="629"/>
      <c r="S227" s="629"/>
      <c r="T227" s="629"/>
      <c r="U227" s="629"/>
      <c r="V227" s="629"/>
      <c r="W227" s="629"/>
      <c r="X227" s="629"/>
      <c r="Y227" s="629"/>
      <c r="Z227" s="629"/>
      <c r="AA227" s="629"/>
      <c r="AB227" s="629"/>
      <c r="AC227" s="629"/>
      <c r="AD227" s="629"/>
      <c r="AE227" s="629"/>
    </row>
    <row r="228" spans="1:31" s="628" customFormat="1" ht="13" x14ac:dyDescent="0.3">
      <c r="A228" s="646"/>
      <c r="B228" s="689"/>
      <c r="C228" s="630"/>
      <c r="D228" s="668"/>
      <c r="E228" s="691"/>
      <c r="F228" s="629"/>
      <c r="G228" s="629"/>
      <c r="H228" s="629"/>
      <c r="I228" s="691"/>
      <c r="J228" s="629"/>
      <c r="K228" s="629"/>
      <c r="L228" s="629"/>
      <c r="M228" s="629"/>
      <c r="N228" s="629"/>
      <c r="O228" s="629"/>
      <c r="P228" s="629"/>
      <c r="Q228" s="629"/>
      <c r="R228" s="629"/>
      <c r="S228" s="629"/>
      <c r="T228" s="629"/>
      <c r="U228" s="629"/>
      <c r="V228" s="629"/>
      <c r="W228" s="629"/>
      <c r="X228" s="629"/>
      <c r="Y228" s="629"/>
      <c r="Z228" s="629"/>
      <c r="AA228" s="629"/>
      <c r="AB228" s="629"/>
      <c r="AC228" s="629"/>
      <c r="AD228" s="629"/>
      <c r="AE228" s="629"/>
    </row>
    <row r="229" spans="1:31" s="628" customFormat="1" ht="13" x14ac:dyDescent="0.3">
      <c r="A229" s="646"/>
      <c r="B229" s="689"/>
      <c r="C229" s="630"/>
      <c r="D229" s="668"/>
      <c r="E229" s="691"/>
      <c r="F229" s="629"/>
      <c r="G229" s="629"/>
      <c r="H229" s="629"/>
      <c r="I229" s="691"/>
      <c r="J229" s="629"/>
      <c r="K229" s="629"/>
      <c r="L229" s="629"/>
      <c r="M229" s="629"/>
      <c r="N229" s="629"/>
      <c r="O229" s="629"/>
      <c r="P229" s="629"/>
      <c r="Q229" s="629"/>
      <c r="R229" s="629"/>
      <c r="S229" s="629"/>
      <c r="T229" s="629"/>
      <c r="U229" s="629"/>
      <c r="V229" s="629"/>
      <c r="W229" s="629"/>
      <c r="X229" s="629"/>
      <c r="Y229" s="629"/>
      <c r="Z229" s="629"/>
      <c r="AA229" s="629"/>
      <c r="AB229" s="629"/>
      <c r="AC229" s="629"/>
      <c r="AD229" s="629"/>
      <c r="AE229" s="629"/>
    </row>
    <row r="230" spans="1:31" s="628" customFormat="1" ht="13" x14ac:dyDescent="0.3">
      <c r="A230" s="646"/>
      <c r="B230" s="689"/>
      <c r="C230" s="630"/>
      <c r="D230" s="668"/>
      <c r="E230" s="691"/>
      <c r="F230" s="629"/>
      <c r="G230" s="629"/>
      <c r="H230" s="629"/>
      <c r="I230" s="691"/>
      <c r="J230" s="629"/>
      <c r="K230" s="629"/>
      <c r="L230" s="629"/>
      <c r="M230" s="629"/>
      <c r="N230" s="629"/>
      <c r="O230" s="629"/>
      <c r="P230" s="629"/>
      <c r="Q230" s="629"/>
      <c r="R230" s="629"/>
      <c r="S230" s="629"/>
      <c r="T230" s="629"/>
      <c r="U230" s="629"/>
      <c r="V230" s="629"/>
      <c r="W230" s="629"/>
      <c r="X230" s="629"/>
      <c r="Y230" s="629"/>
      <c r="Z230" s="629"/>
      <c r="AA230" s="629"/>
      <c r="AB230" s="629"/>
      <c r="AC230" s="629"/>
      <c r="AD230" s="629"/>
      <c r="AE230" s="629"/>
    </row>
    <row r="231" spans="1:31" s="628" customFormat="1" ht="13" x14ac:dyDescent="0.3">
      <c r="A231" s="646"/>
      <c r="B231" s="689"/>
      <c r="C231" s="630"/>
      <c r="D231" s="668"/>
      <c r="E231" s="691"/>
      <c r="F231" s="629"/>
      <c r="G231" s="629"/>
      <c r="H231" s="629"/>
      <c r="I231" s="691"/>
      <c r="J231" s="629"/>
      <c r="K231" s="629"/>
      <c r="L231" s="629"/>
      <c r="M231" s="629"/>
      <c r="N231" s="629"/>
      <c r="O231" s="629"/>
      <c r="P231" s="629"/>
      <c r="Q231" s="629"/>
      <c r="R231" s="629"/>
      <c r="S231" s="629"/>
      <c r="T231" s="629"/>
      <c r="U231" s="629"/>
      <c r="V231" s="629"/>
      <c r="W231" s="629"/>
      <c r="X231" s="629"/>
      <c r="Y231" s="629"/>
      <c r="Z231" s="629"/>
      <c r="AA231" s="629"/>
      <c r="AB231" s="629"/>
      <c r="AC231" s="629"/>
      <c r="AD231" s="629"/>
      <c r="AE231" s="629"/>
    </row>
    <row r="232" spans="1:31" s="628" customFormat="1" ht="13" x14ac:dyDescent="0.3">
      <c r="A232" s="646"/>
      <c r="B232" s="689"/>
      <c r="C232" s="630"/>
      <c r="D232" s="668"/>
      <c r="E232" s="691"/>
      <c r="F232" s="629"/>
      <c r="G232" s="629"/>
      <c r="H232" s="629"/>
      <c r="I232" s="691"/>
      <c r="J232" s="629"/>
      <c r="K232" s="629"/>
      <c r="L232" s="629"/>
      <c r="M232" s="629"/>
      <c r="N232" s="629"/>
      <c r="O232" s="629"/>
      <c r="P232" s="629"/>
      <c r="Q232" s="629"/>
      <c r="R232" s="629"/>
      <c r="S232" s="629"/>
      <c r="T232" s="629"/>
      <c r="U232" s="629"/>
      <c r="V232" s="629"/>
      <c r="W232" s="629"/>
      <c r="X232" s="629"/>
      <c r="Y232" s="629"/>
      <c r="Z232" s="629"/>
      <c r="AA232" s="629"/>
      <c r="AB232" s="629"/>
      <c r="AC232" s="629"/>
      <c r="AD232" s="629"/>
      <c r="AE232" s="629"/>
    </row>
    <row r="233" spans="1:31" s="628" customFormat="1" ht="13" x14ac:dyDescent="0.3">
      <c r="A233" s="646"/>
      <c r="B233" s="689"/>
      <c r="C233" s="630"/>
      <c r="D233" s="668"/>
      <c r="E233" s="691"/>
      <c r="F233" s="629"/>
      <c r="G233" s="629"/>
      <c r="H233" s="629"/>
      <c r="I233" s="691"/>
      <c r="J233" s="629"/>
      <c r="K233" s="629"/>
      <c r="L233" s="629"/>
      <c r="M233" s="629"/>
      <c r="N233" s="629"/>
      <c r="O233" s="629"/>
      <c r="P233" s="629"/>
      <c r="Q233" s="629"/>
      <c r="R233" s="629"/>
      <c r="S233" s="629"/>
      <c r="T233" s="629"/>
      <c r="U233" s="629"/>
      <c r="V233" s="629"/>
      <c r="W233" s="629"/>
      <c r="X233" s="629"/>
      <c r="Y233" s="629"/>
      <c r="Z233" s="629"/>
      <c r="AA233" s="629"/>
      <c r="AB233" s="629"/>
      <c r="AC233" s="629"/>
      <c r="AD233" s="629"/>
      <c r="AE233" s="629"/>
    </row>
    <row r="234" spans="1:31" s="628" customFormat="1" ht="13" x14ac:dyDescent="0.3">
      <c r="A234" s="646"/>
      <c r="B234" s="689"/>
      <c r="C234" s="630"/>
      <c r="D234" s="668"/>
      <c r="E234" s="691"/>
      <c r="F234" s="629"/>
      <c r="G234" s="629"/>
      <c r="H234" s="629"/>
      <c r="I234" s="691"/>
      <c r="J234" s="629"/>
      <c r="K234" s="629"/>
      <c r="L234" s="629"/>
      <c r="M234" s="629"/>
      <c r="N234" s="629"/>
      <c r="O234" s="629"/>
      <c r="P234" s="629"/>
      <c r="Q234" s="629"/>
      <c r="R234" s="629"/>
      <c r="S234" s="629"/>
      <c r="T234" s="629"/>
      <c r="U234" s="629"/>
      <c r="V234" s="629"/>
      <c r="W234" s="629"/>
      <c r="X234" s="629"/>
      <c r="Y234" s="629"/>
      <c r="Z234" s="629"/>
      <c r="AA234" s="629"/>
      <c r="AB234" s="629"/>
      <c r="AC234" s="629"/>
      <c r="AD234" s="629"/>
      <c r="AE234" s="629"/>
    </row>
    <row r="235" spans="1:31" s="628" customFormat="1" ht="13" x14ac:dyDescent="0.3">
      <c r="A235" s="646"/>
      <c r="B235" s="689"/>
      <c r="C235" s="630"/>
      <c r="D235" s="668"/>
      <c r="E235" s="691"/>
      <c r="F235" s="629"/>
      <c r="G235" s="629"/>
      <c r="H235" s="629"/>
      <c r="I235" s="691"/>
      <c r="J235" s="629"/>
      <c r="K235" s="629"/>
      <c r="L235" s="629"/>
      <c r="M235" s="629"/>
      <c r="N235" s="629"/>
      <c r="O235" s="629"/>
      <c r="P235" s="629"/>
      <c r="Q235" s="629"/>
      <c r="R235" s="629"/>
      <c r="S235" s="629"/>
      <c r="T235" s="629"/>
      <c r="U235" s="629"/>
      <c r="V235" s="629"/>
      <c r="W235" s="629"/>
      <c r="X235" s="629"/>
      <c r="Y235" s="629"/>
      <c r="Z235" s="629"/>
      <c r="AA235" s="629"/>
      <c r="AB235" s="629"/>
      <c r="AC235" s="629"/>
      <c r="AD235" s="629"/>
      <c r="AE235" s="629"/>
    </row>
    <row r="236" spans="1:31" s="628" customFormat="1" ht="13" x14ac:dyDescent="0.3">
      <c r="A236" s="646"/>
      <c r="B236" s="689"/>
      <c r="C236" s="630"/>
      <c r="D236" s="668"/>
      <c r="E236" s="691"/>
      <c r="F236" s="629"/>
      <c r="G236" s="629"/>
      <c r="H236" s="629"/>
      <c r="I236" s="691"/>
      <c r="J236" s="629"/>
      <c r="K236" s="629"/>
      <c r="L236" s="629"/>
      <c r="M236" s="629"/>
      <c r="N236" s="629"/>
      <c r="O236" s="629"/>
      <c r="P236" s="629"/>
      <c r="Q236" s="629"/>
      <c r="R236" s="629"/>
      <c r="S236" s="629"/>
      <c r="T236" s="629"/>
      <c r="U236" s="629"/>
      <c r="V236" s="629"/>
      <c r="W236" s="629"/>
      <c r="X236" s="629"/>
      <c r="Y236" s="629"/>
      <c r="Z236" s="629"/>
      <c r="AA236" s="629"/>
      <c r="AB236" s="629"/>
      <c r="AC236" s="629"/>
      <c r="AD236" s="629"/>
      <c r="AE236" s="629"/>
    </row>
    <row r="237" spans="1:31" s="628" customFormat="1" ht="13" x14ac:dyDescent="0.3">
      <c r="A237" s="646"/>
      <c r="B237" s="689"/>
      <c r="C237" s="630"/>
      <c r="D237" s="668"/>
      <c r="E237" s="691"/>
      <c r="F237" s="629"/>
      <c r="G237" s="629"/>
      <c r="H237" s="629"/>
      <c r="I237" s="691"/>
      <c r="J237" s="629"/>
      <c r="K237" s="629"/>
      <c r="L237" s="629"/>
      <c r="M237" s="629"/>
      <c r="N237" s="629"/>
      <c r="O237" s="629"/>
      <c r="P237" s="629"/>
      <c r="Q237" s="629"/>
      <c r="R237" s="629"/>
      <c r="S237" s="629"/>
      <c r="T237" s="629"/>
      <c r="U237" s="629"/>
      <c r="V237" s="629"/>
      <c r="W237" s="629"/>
      <c r="X237" s="629"/>
      <c r="Y237" s="629"/>
      <c r="Z237" s="629"/>
      <c r="AA237" s="629"/>
      <c r="AB237" s="629"/>
      <c r="AC237" s="629"/>
      <c r="AD237" s="629"/>
      <c r="AE237" s="629"/>
    </row>
    <row r="238" spans="1:31" s="628" customFormat="1" ht="13" x14ac:dyDescent="0.3">
      <c r="A238" s="646"/>
      <c r="B238" s="689"/>
      <c r="C238" s="630"/>
      <c r="D238" s="668"/>
      <c r="E238" s="691"/>
      <c r="F238" s="629"/>
      <c r="G238" s="629"/>
      <c r="H238" s="629"/>
      <c r="I238" s="691"/>
      <c r="J238" s="629"/>
      <c r="K238" s="629"/>
      <c r="L238" s="629"/>
      <c r="M238" s="629"/>
      <c r="N238" s="629"/>
      <c r="O238" s="629"/>
      <c r="P238" s="629"/>
      <c r="Q238" s="629"/>
      <c r="R238" s="629"/>
      <c r="S238" s="629"/>
      <c r="T238" s="629"/>
      <c r="U238" s="629"/>
      <c r="V238" s="629"/>
      <c r="W238" s="629"/>
      <c r="X238" s="629"/>
      <c r="Y238" s="629"/>
      <c r="Z238" s="629"/>
      <c r="AA238" s="629"/>
      <c r="AB238" s="629"/>
      <c r="AC238" s="629"/>
      <c r="AD238" s="629"/>
      <c r="AE238" s="629"/>
    </row>
    <row r="239" spans="1:31" s="628" customFormat="1" ht="13" x14ac:dyDescent="0.3">
      <c r="A239" s="646"/>
      <c r="B239" s="689"/>
      <c r="C239" s="630"/>
      <c r="D239" s="668"/>
      <c r="E239" s="691"/>
      <c r="F239" s="629"/>
      <c r="G239" s="629"/>
      <c r="H239" s="629"/>
      <c r="I239" s="691"/>
      <c r="J239" s="629"/>
      <c r="K239" s="629"/>
      <c r="L239" s="629"/>
      <c r="M239" s="629"/>
      <c r="N239" s="629"/>
      <c r="O239" s="629"/>
      <c r="P239" s="629"/>
      <c r="Q239" s="629"/>
      <c r="R239" s="629"/>
      <c r="S239" s="629"/>
      <c r="T239" s="629"/>
      <c r="U239" s="629"/>
      <c r="V239" s="629"/>
      <c r="W239" s="629"/>
      <c r="X239" s="629"/>
      <c r="Y239" s="629"/>
      <c r="Z239" s="629"/>
      <c r="AA239" s="629"/>
      <c r="AB239" s="629"/>
      <c r="AC239" s="629"/>
      <c r="AD239" s="629"/>
      <c r="AE239" s="629"/>
    </row>
    <row r="240" spans="1:31" s="628" customFormat="1" ht="13" x14ac:dyDescent="0.3">
      <c r="A240" s="646"/>
      <c r="B240" s="689"/>
      <c r="C240" s="630"/>
      <c r="D240" s="668"/>
      <c r="E240" s="691"/>
      <c r="F240" s="629"/>
      <c r="G240" s="629"/>
      <c r="H240" s="629"/>
      <c r="I240" s="691"/>
      <c r="J240" s="629"/>
      <c r="K240" s="629"/>
      <c r="L240" s="629"/>
      <c r="M240" s="629"/>
      <c r="N240" s="629"/>
      <c r="O240" s="629"/>
      <c r="P240" s="629"/>
      <c r="Q240" s="629"/>
      <c r="R240" s="629"/>
      <c r="S240" s="629"/>
      <c r="T240" s="629"/>
      <c r="U240" s="629"/>
      <c r="V240" s="629"/>
      <c r="W240" s="629"/>
      <c r="X240" s="629"/>
      <c r="Y240" s="629"/>
      <c r="Z240" s="629"/>
      <c r="AA240" s="629"/>
      <c r="AB240" s="629"/>
      <c r="AC240" s="629"/>
      <c r="AD240" s="629"/>
      <c r="AE240" s="629"/>
    </row>
    <row r="241" spans="1:31" s="628" customFormat="1" ht="13" x14ac:dyDescent="0.3">
      <c r="A241" s="646"/>
      <c r="B241" s="689"/>
      <c r="C241" s="630"/>
      <c r="D241" s="668"/>
      <c r="E241" s="691"/>
      <c r="F241" s="629"/>
      <c r="G241" s="629"/>
      <c r="H241" s="629"/>
      <c r="I241" s="691"/>
      <c r="J241" s="629"/>
      <c r="K241" s="629"/>
      <c r="L241" s="629"/>
      <c r="M241" s="629"/>
      <c r="N241" s="629"/>
      <c r="O241" s="629"/>
      <c r="P241" s="629"/>
      <c r="Q241" s="629"/>
      <c r="R241" s="629"/>
      <c r="S241" s="629"/>
      <c r="T241" s="629"/>
      <c r="U241" s="629"/>
      <c r="V241" s="629"/>
      <c r="W241" s="629"/>
      <c r="X241" s="629"/>
      <c r="Y241" s="629"/>
      <c r="Z241" s="629"/>
      <c r="AA241" s="629"/>
      <c r="AB241" s="629"/>
      <c r="AC241" s="629"/>
      <c r="AD241" s="629"/>
      <c r="AE241" s="629"/>
    </row>
    <row r="242" spans="1:31" s="628" customFormat="1" ht="13" x14ac:dyDescent="0.3">
      <c r="A242" s="646"/>
      <c r="B242" s="689"/>
      <c r="C242" s="630"/>
      <c r="D242" s="668"/>
      <c r="E242" s="691"/>
      <c r="F242" s="629"/>
      <c r="G242" s="629"/>
      <c r="H242" s="629"/>
      <c r="I242" s="691"/>
      <c r="J242" s="629"/>
      <c r="K242" s="629"/>
      <c r="L242" s="629"/>
      <c r="M242" s="629"/>
      <c r="N242" s="629"/>
      <c r="O242" s="629"/>
      <c r="P242" s="629"/>
      <c r="Q242" s="629"/>
      <c r="R242" s="629"/>
      <c r="S242" s="629"/>
      <c r="T242" s="629"/>
      <c r="U242" s="629"/>
      <c r="V242" s="629"/>
      <c r="W242" s="629"/>
      <c r="X242" s="629"/>
      <c r="Y242" s="629"/>
      <c r="Z242" s="629"/>
      <c r="AA242" s="629"/>
      <c r="AB242" s="629"/>
      <c r="AC242" s="629"/>
      <c r="AD242" s="629"/>
      <c r="AE242" s="629"/>
    </row>
    <row r="243" spans="1:31" s="628" customFormat="1" ht="13" x14ac:dyDescent="0.3">
      <c r="A243" s="646"/>
      <c r="B243" s="689"/>
      <c r="C243" s="630"/>
      <c r="D243" s="668"/>
      <c r="E243" s="691"/>
      <c r="F243" s="629"/>
      <c r="G243" s="629"/>
      <c r="H243" s="629"/>
      <c r="I243" s="691"/>
      <c r="J243" s="629"/>
      <c r="K243" s="629"/>
      <c r="L243" s="629"/>
      <c r="M243" s="629"/>
      <c r="N243" s="629"/>
      <c r="O243" s="629"/>
      <c r="P243" s="629"/>
      <c r="Q243" s="629"/>
      <c r="R243" s="629"/>
      <c r="S243" s="629"/>
      <c r="T243" s="629"/>
      <c r="U243" s="629"/>
      <c r="V243" s="629"/>
      <c r="W243" s="629"/>
      <c r="X243" s="629"/>
      <c r="Y243" s="629"/>
      <c r="Z243" s="629"/>
      <c r="AA243" s="629"/>
      <c r="AB243" s="629"/>
      <c r="AC243" s="629"/>
      <c r="AD243" s="629"/>
      <c r="AE243" s="629"/>
    </row>
    <row r="244" spans="1:31" s="628" customFormat="1" ht="13" x14ac:dyDescent="0.3">
      <c r="A244" s="646"/>
      <c r="B244" s="689"/>
      <c r="C244" s="630"/>
      <c r="D244" s="668"/>
      <c r="E244" s="691"/>
      <c r="F244" s="629"/>
      <c r="G244" s="629"/>
      <c r="H244" s="629"/>
      <c r="I244" s="691"/>
      <c r="J244" s="629"/>
      <c r="K244" s="629"/>
      <c r="L244" s="629"/>
      <c r="M244" s="629"/>
      <c r="N244" s="629"/>
      <c r="O244" s="629"/>
      <c r="P244" s="629"/>
      <c r="Q244" s="629"/>
      <c r="R244" s="629"/>
      <c r="S244" s="629"/>
      <c r="T244" s="629"/>
      <c r="U244" s="629"/>
      <c r="V244" s="629"/>
      <c r="W244" s="629"/>
      <c r="X244" s="629"/>
      <c r="Y244" s="629"/>
      <c r="Z244" s="629"/>
      <c r="AA244" s="629"/>
      <c r="AB244" s="629"/>
      <c r="AC244" s="629"/>
      <c r="AD244" s="629"/>
      <c r="AE244" s="629"/>
    </row>
    <row r="245" spans="1:31" s="628" customFormat="1" ht="13" x14ac:dyDescent="0.3">
      <c r="A245" s="646"/>
      <c r="B245" s="689"/>
      <c r="C245" s="630"/>
      <c r="D245" s="668"/>
      <c r="E245" s="691"/>
      <c r="F245" s="629"/>
      <c r="G245" s="629"/>
      <c r="H245" s="629"/>
      <c r="I245" s="691"/>
      <c r="J245" s="629"/>
      <c r="K245" s="629"/>
      <c r="L245" s="629"/>
      <c r="M245" s="629"/>
      <c r="N245" s="629"/>
      <c r="O245" s="629"/>
      <c r="P245" s="629"/>
      <c r="Q245" s="629"/>
      <c r="R245" s="629"/>
      <c r="S245" s="629"/>
      <c r="T245" s="629"/>
      <c r="U245" s="629"/>
      <c r="V245" s="629"/>
      <c r="W245" s="629"/>
      <c r="X245" s="629"/>
      <c r="Y245" s="629"/>
      <c r="Z245" s="629"/>
      <c r="AA245" s="629"/>
      <c r="AB245" s="629"/>
      <c r="AC245" s="629"/>
      <c r="AD245" s="629"/>
      <c r="AE245" s="629"/>
    </row>
    <row r="246" spans="1:31" s="628" customFormat="1" ht="13" x14ac:dyDescent="0.3">
      <c r="A246" s="646"/>
      <c r="B246" s="689"/>
      <c r="C246" s="630"/>
      <c r="D246" s="668"/>
      <c r="E246" s="691"/>
      <c r="F246" s="629"/>
      <c r="G246" s="629"/>
      <c r="H246" s="629"/>
      <c r="I246" s="691"/>
      <c r="J246" s="629"/>
      <c r="K246" s="629"/>
      <c r="L246" s="629"/>
      <c r="M246" s="629"/>
      <c r="N246" s="629"/>
      <c r="O246" s="629"/>
      <c r="P246" s="629"/>
      <c r="Q246" s="629"/>
      <c r="R246" s="629"/>
      <c r="S246" s="629"/>
      <c r="T246" s="629"/>
      <c r="U246" s="629"/>
      <c r="V246" s="629"/>
      <c r="W246" s="629"/>
      <c r="X246" s="629"/>
      <c r="Y246" s="629"/>
      <c r="Z246" s="629"/>
      <c r="AA246" s="629"/>
      <c r="AB246" s="629"/>
      <c r="AC246" s="629"/>
      <c r="AD246" s="629"/>
      <c r="AE246" s="629"/>
    </row>
    <row r="247" spans="1:31" s="628" customFormat="1" ht="13" x14ac:dyDescent="0.3">
      <c r="A247" s="646"/>
      <c r="B247" s="689"/>
      <c r="C247" s="630"/>
      <c r="D247" s="668"/>
      <c r="E247" s="691"/>
      <c r="F247" s="629"/>
      <c r="G247" s="629"/>
      <c r="H247" s="629"/>
      <c r="I247" s="691"/>
      <c r="J247" s="629"/>
      <c r="K247" s="629"/>
      <c r="L247" s="629"/>
      <c r="M247" s="629"/>
      <c r="N247" s="629"/>
      <c r="O247" s="629"/>
      <c r="P247" s="629"/>
      <c r="Q247" s="629"/>
      <c r="R247" s="629"/>
      <c r="S247" s="629"/>
      <c r="T247" s="629"/>
      <c r="U247" s="629"/>
      <c r="V247" s="629"/>
      <c r="W247" s="629"/>
      <c r="X247" s="629"/>
      <c r="Y247" s="629"/>
      <c r="Z247" s="629"/>
      <c r="AA247" s="629"/>
      <c r="AB247" s="629"/>
      <c r="AC247" s="629"/>
      <c r="AD247" s="629"/>
      <c r="AE247" s="629"/>
    </row>
    <row r="248" spans="1:31" s="628" customFormat="1" ht="13" x14ac:dyDescent="0.3">
      <c r="A248" s="646"/>
      <c r="B248" s="689"/>
      <c r="C248" s="630"/>
      <c r="D248" s="668"/>
      <c r="E248" s="691"/>
      <c r="F248" s="629"/>
      <c r="G248" s="629"/>
      <c r="H248" s="629"/>
      <c r="I248" s="691"/>
      <c r="J248" s="629"/>
      <c r="K248" s="629"/>
      <c r="L248" s="629"/>
      <c r="M248" s="629"/>
      <c r="N248" s="629"/>
      <c r="O248" s="629"/>
      <c r="P248" s="629"/>
      <c r="Q248" s="629"/>
      <c r="R248" s="629"/>
      <c r="S248" s="629"/>
      <c r="T248" s="629"/>
      <c r="U248" s="629"/>
      <c r="V248" s="629"/>
      <c r="W248" s="629"/>
      <c r="X248" s="629"/>
      <c r="Y248" s="629"/>
      <c r="Z248" s="629"/>
      <c r="AA248" s="629"/>
      <c r="AB248" s="629"/>
      <c r="AC248" s="629"/>
      <c r="AD248" s="629"/>
      <c r="AE248" s="629"/>
    </row>
    <row r="249" spans="1:31" s="628" customFormat="1" ht="13" x14ac:dyDescent="0.3">
      <c r="A249" s="646"/>
      <c r="B249" s="689"/>
      <c r="C249" s="630"/>
      <c r="D249" s="668"/>
      <c r="E249" s="691"/>
      <c r="F249" s="629"/>
      <c r="G249" s="629"/>
      <c r="H249" s="629"/>
      <c r="I249" s="691"/>
      <c r="J249" s="629"/>
      <c r="K249" s="629"/>
      <c r="L249" s="629"/>
      <c r="M249" s="629"/>
      <c r="N249" s="629"/>
      <c r="O249" s="629"/>
      <c r="P249" s="629"/>
      <c r="Q249" s="629"/>
      <c r="R249" s="629"/>
      <c r="S249" s="629"/>
      <c r="T249" s="629"/>
      <c r="U249" s="629"/>
      <c r="V249" s="629"/>
      <c r="W249" s="629"/>
      <c r="X249" s="629"/>
      <c r="Y249" s="629"/>
      <c r="Z249" s="629"/>
      <c r="AA249" s="629"/>
      <c r="AB249" s="629"/>
      <c r="AC249" s="629"/>
      <c r="AD249" s="629"/>
      <c r="AE249" s="629"/>
    </row>
    <row r="250" spans="1:31" s="628" customFormat="1" ht="13" x14ac:dyDescent="0.3">
      <c r="A250" s="646"/>
      <c r="B250" s="689"/>
      <c r="C250" s="630"/>
      <c r="D250" s="668"/>
      <c r="E250" s="691"/>
      <c r="F250" s="629"/>
      <c r="G250" s="629"/>
      <c r="H250" s="629"/>
      <c r="I250" s="691"/>
      <c r="J250" s="629"/>
      <c r="K250" s="629"/>
      <c r="L250" s="629"/>
      <c r="M250" s="629"/>
      <c r="N250" s="629"/>
      <c r="O250" s="629"/>
      <c r="P250" s="629"/>
      <c r="Q250" s="629"/>
      <c r="R250" s="629"/>
      <c r="S250" s="629"/>
      <c r="T250" s="629"/>
      <c r="U250" s="629"/>
      <c r="V250" s="629"/>
      <c r="W250" s="629"/>
      <c r="X250" s="629"/>
      <c r="Y250" s="629"/>
      <c r="Z250" s="629"/>
      <c r="AA250" s="629"/>
      <c r="AB250" s="629"/>
      <c r="AC250" s="629"/>
      <c r="AD250" s="629"/>
      <c r="AE250" s="629"/>
    </row>
    <row r="251" spans="1:31" s="628" customFormat="1" ht="13" x14ac:dyDescent="0.3">
      <c r="A251" s="646"/>
      <c r="B251" s="689"/>
      <c r="C251" s="630"/>
      <c r="D251" s="668"/>
      <c r="E251" s="691"/>
      <c r="F251" s="629"/>
      <c r="G251" s="629"/>
      <c r="H251" s="629"/>
      <c r="I251" s="691"/>
      <c r="J251" s="629"/>
      <c r="K251" s="629"/>
      <c r="L251" s="629"/>
      <c r="M251" s="629"/>
      <c r="N251" s="629"/>
      <c r="O251" s="629"/>
      <c r="P251" s="629"/>
      <c r="Q251" s="629"/>
      <c r="R251" s="629"/>
      <c r="S251" s="629"/>
      <c r="T251" s="629"/>
      <c r="U251" s="629"/>
      <c r="V251" s="629"/>
      <c r="W251" s="629"/>
      <c r="X251" s="629"/>
      <c r="Y251" s="629"/>
      <c r="Z251" s="629"/>
      <c r="AA251" s="629"/>
      <c r="AB251" s="629"/>
      <c r="AC251" s="629"/>
      <c r="AD251" s="629"/>
      <c r="AE251" s="629"/>
    </row>
    <row r="252" spans="1:31" s="628" customFormat="1" ht="13" x14ac:dyDescent="0.3">
      <c r="A252" s="646"/>
      <c r="B252" s="689"/>
      <c r="C252" s="630"/>
      <c r="D252" s="668"/>
      <c r="E252" s="691"/>
      <c r="F252" s="629"/>
      <c r="G252" s="629"/>
      <c r="H252" s="629"/>
      <c r="I252" s="691"/>
      <c r="J252" s="629"/>
      <c r="K252" s="629"/>
      <c r="L252" s="629"/>
      <c r="M252" s="629"/>
      <c r="N252" s="629"/>
      <c r="O252" s="629"/>
      <c r="P252" s="629"/>
      <c r="Q252" s="629"/>
      <c r="R252" s="629"/>
      <c r="S252" s="629"/>
      <c r="T252" s="629"/>
      <c r="U252" s="629"/>
      <c r="V252" s="629"/>
      <c r="W252" s="629"/>
      <c r="X252" s="629"/>
      <c r="Y252" s="629"/>
      <c r="Z252" s="629"/>
      <c r="AA252" s="629"/>
      <c r="AB252" s="629"/>
      <c r="AC252" s="629"/>
      <c r="AD252" s="629"/>
      <c r="AE252" s="629"/>
    </row>
    <row r="253" spans="1:31" s="628" customFormat="1" ht="13" x14ac:dyDescent="0.3">
      <c r="A253" s="646"/>
      <c r="B253" s="689"/>
      <c r="C253" s="630"/>
      <c r="D253" s="668"/>
      <c r="E253" s="691"/>
      <c r="F253" s="629"/>
      <c r="G253" s="629"/>
      <c r="H253" s="629"/>
      <c r="I253" s="691"/>
      <c r="J253" s="629"/>
      <c r="K253" s="629"/>
      <c r="L253" s="629"/>
      <c r="M253" s="629"/>
      <c r="N253" s="629"/>
      <c r="O253" s="629"/>
      <c r="P253" s="629"/>
      <c r="Q253" s="629"/>
      <c r="R253" s="629"/>
      <c r="S253" s="629"/>
      <c r="T253" s="629"/>
      <c r="U253" s="629"/>
      <c r="V253" s="629"/>
      <c r="W253" s="629"/>
      <c r="X253" s="629"/>
      <c r="Y253" s="629"/>
      <c r="Z253" s="629"/>
      <c r="AA253" s="629"/>
      <c r="AB253" s="629"/>
      <c r="AC253" s="629"/>
      <c r="AD253" s="629"/>
      <c r="AE253" s="629"/>
    </row>
    <row r="254" spans="1:31" s="628" customFormat="1" ht="13" x14ac:dyDescent="0.3">
      <c r="A254" s="646"/>
      <c r="B254" s="689"/>
      <c r="C254" s="630"/>
      <c r="D254" s="668"/>
      <c r="E254" s="691"/>
      <c r="F254" s="629"/>
      <c r="G254" s="629"/>
      <c r="H254" s="629"/>
      <c r="I254" s="691"/>
      <c r="J254" s="629"/>
      <c r="K254" s="629"/>
      <c r="L254" s="629"/>
      <c r="M254" s="629"/>
      <c r="N254" s="629"/>
      <c r="O254" s="629"/>
      <c r="P254" s="629"/>
      <c r="Q254" s="629"/>
      <c r="R254" s="629"/>
      <c r="S254" s="629"/>
      <c r="T254" s="629"/>
      <c r="U254" s="629"/>
      <c r="V254" s="629"/>
      <c r="W254" s="629"/>
      <c r="X254" s="629"/>
      <c r="Y254" s="629"/>
      <c r="Z254" s="629"/>
      <c r="AA254" s="629"/>
      <c r="AB254" s="629"/>
      <c r="AC254" s="629"/>
      <c r="AD254" s="629"/>
      <c r="AE254" s="629"/>
    </row>
    <row r="255" spans="1:31" s="628" customFormat="1" ht="13" x14ac:dyDescent="0.3">
      <c r="A255" s="646"/>
      <c r="B255" s="689"/>
      <c r="C255" s="630"/>
      <c r="D255" s="668"/>
      <c r="E255" s="691"/>
      <c r="F255" s="629"/>
      <c r="G255" s="629"/>
      <c r="H255" s="629"/>
      <c r="I255" s="691"/>
      <c r="J255" s="629"/>
      <c r="K255" s="629"/>
      <c r="L255" s="629"/>
      <c r="M255" s="629"/>
      <c r="N255" s="629"/>
      <c r="O255" s="629"/>
      <c r="P255" s="629"/>
      <c r="Q255" s="629"/>
      <c r="R255" s="629"/>
      <c r="S255" s="629"/>
      <c r="T255" s="629"/>
      <c r="U255" s="629"/>
      <c r="V255" s="629"/>
      <c r="W255" s="629"/>
      <c r="X255" s="629"/>
      <c r="Y255" s="629"/>
      <c r="Z255" s="629"/>
      <c r="AA255" s="629"/>
      <c r="AB255" s="629"/>
      <c r="AC255" s="629"/>
      <c r="AD255" s="629"/>
      <c r="AE255" s="629"/>
    </row>
    <row r="256" spans="1:31" s="628" customFormat="1" ht="13" x14ac:dyDescent="0.3">
      <c r="A256" s="646"/>
      <c r="B256" s="689"/>
      <c r="C256" s="630"/>
      <c r="D256" s="668"/>
      <c r="E256" s="691"/>
      <c r="F256" s="629"/>
      <c r="G256" s="629"/>
      <c r="H256" s="629"/>
      <c r="I256" s="691"/>
      <c r="J256" s="629"/>
      <c r="K256" s="629"/>
      <c r="L256" s="629"/>
      <c r="M256" s="629"/>
      <c r="N256" s="629"/>
      <c r="O256" s="629"/>
      <c r="P256" s="629"/>
      <c r="Q256" s="629"/>
      <c r="R256" s="629"/>
      <c r="S256" s="629"/>
      <c r="T256" s="629"/>
      <c r="U256" s="629"/>
      <c r="V256" s="629"/>
      <c r="W256" s="629"/>
      <c r="X256" s="629"/>
      <c r="Y256" s="629"/>
      <c r="Z256" s="629"/>
      <c r="AA256" s="629"/>
      <c r="AB256" s="629"/>
      <c r="AC256" s="629"/>
      <c r="AD256" s="629"/>
      <c r="AE256" s="629"/>
    </row>
    <row r="257" spans="1:31" s="628" customFormat="1" ht="13" x14ac:dyDescent="0.3">
      <c r="A257" s="646"/>
      <c r="B257" s="689"/>
      <c r="C257" s="630"/>
      <c r="D257" s="668"/>
      <c r="E257" s="691"/>
      <c r="F257" s="629"/>
      <c r="G257" s="629"/>
      <c r="H257" s="629"/>
      <c r="I257" s="691"/>
      <c r="J257" s="629"/>
      <c r="K257" s="629"/>
      <c r="L257" s="629"/>
      <c r="M257" s="629"/>
      <c r="N257" s="629"/>
      <c r="O257" s="629"/>
      <c r="P257" s="629"/>
      <c r="Q257" s="629"/>
      <c r="R257" s="629"/>
      <c r="S257" s="629"/>
      <c r="T257" s="629"/>
      <c r="U257" s="629"/>
      <c r="V257" s="629"/>
      <c r="W257" s="629"/>
      <c r="X257" s="629"/>
      <c r="Y257" s="629"/>
      <c r="Z257" s="629"/>
      <c r="AA257" s="629"/>
      <c r="AB257" s="629"/>
      <c r="AC257" s="629"/>
      <c r="AD257" s="629"/>
      <c r="AE257" s="629"/>
    </row>
    <row r="258" spans="1:31" s="628" customFormat="1" ht="13" x14ac:dyDescent="0.3">
      <c r="A258" s="646"/>
      <c r="B258" s="689"/>
      <c r="C258" s="630"/>
      <c r="D258" s="668"/>
      <c r="E258" s="691"/>
      <c r="F258" s="629"/>
      <c r="G258" s="629"/>
      <c r="H258" s="629"/>
      <c r="I258" s="691"/>
      <c r="J258" s="629"/>
      <c r="K258" s="629"/>
      <c r="L258" s="629"/>
      <c r="M258" s="629"/>
      <c r="N258" s="629"/>
      <c r="O258" s="629"/>
      <c r="P258" s="629"/>
      <c r="Q258" s="629"/>
      <c r="R258" s="629"/>
      <c r="S258" s="629"/>
      <c r="T258" s="629"/>
      <c r="U258" s="629"/>
      <c r="V258" s="629"/>
      <c r="W258" s="629"/>
      <c r="X258" s="629"/>
      <c r="Y258" s="629"/>
      <c r="Z258" s="629"/>
      <c r="AA258" s="629"/>
      <c r="AB258" s="629"/>
      <c r="AC258" s="629"/>
      <c r="AD258" s="629"/>
      <c r="AE258" s="629"/>
    </row>
    <row r="259" spans="1:31" s="628" customFormat="1" ht="13" x14ac:dyDescent="0.3">
      <c r="A259" s="646"/>
      <c r="B259" s="689"/>
      <c r="C259" s="630"/>
      <c r="D259" s="668"/>
      <c r="E259" s="691"/>
      <c r="F259" s="629"/>
      <c r="G259" s="629"/>
      <c r="H259" s="629"/>
      <c r="I259" s="691"/>
      <c r="J259" s="629"/>
      <c r="K259" s="629"/>
      <c r="L259" s="629"/>
      <c r="M259" s="629"/>
      <c r="N259" s="629"/>
      <c r="O259" s="629"/>
      <c r="P259" s="629"/>
      <c r="Q259" s="629"/>
      <c r="R259" s="629"/>
      <c r="S259" s="629"/>
      <c r="T259" s="629"/>
      <c r="U259" s="629"/>
      <c r="V259" s="629"/>
      <c r="W259" s="629"/>
      <c r="X259" s="629"/>
      <c r="Y259" s="629"/>
      <c r="Z259" s="629"/>
      <c r="AA259" s="629"/>
      <c r="AB259" s="629"/>
      <c r="AC259" s="629"/>
      <c r="AD259" s="629"/>
      <c r="AE259" s="629"/>
    </row>
    <row r="260" spans="1:31" s="628" customFormat="1" ht="13" x14ac:dyDescent="0.3">
      <c r="A260" s="646"/>
      <c r="B260" s="689"/>
      <c r="C260" s="630"/>
      <c r="D260" s="668"/>
      <c r="E260" s="691"/>
      <c r="F260" s="629"/>
      <c r="G260" s="629"/>
      <c r="H260" s="629"/>
      <c r="I260" s="691"/>
      <c r="J260" s="629"/>
      <c r="K260" s="629"/>
      <c r="L260" s="629"/>
      <c r="M260" s="629"/>
      <c r="N260" s="629"/>
      <c r="O260" s="629"/>
      <c r="P260" s="629"/>
      <c r="Q260" s="629"/>
      <c r="R260" s="629"/>
      <c r="S260" s="629"/>
      <c r="T260" s="629"/>
      <c r="U260" s="629"/>
      <c r="V260" s="629"/>
      <c r="W260" s="629"/>
      <c r="X260" s="629"/>
      <c r="Y260" s="629"/>
      <c r="Z260" s="629"/>
      <c r="AA260" s="629"/>
      <c r="AB260" s="629"/>
      <c r="AC260" s="629"/>
      <c r="AD260" s="629"/>
      <c r="AE260" s="629"/>
    </row>
    <row r="261" spans="1:31" s="628" customFormat="1" ht="13" x14ac:dyDescent="0.3">
      <c r="A261" s="646"/>
      <c r="B261" s="689"/>
      <c r="C261" s="630"/>
      <c r="D261" s="668"/>
      <c r="E261" s="691"/>
      <c r="F261" s="629"/>
      <c r="G261" s="629"/>
      <c r="H261" s="629"/>
      <c r="I261" s="691"/>
      <c r="J261" s="629"/>
      <c r="K261" s="629"/>
      <c r="L261" s="629"/>
      <c r="M261" s="629"/>
      <c r="N261" s="629"/>
      <c r="O261" s="629"/>
      <c r="P261" s="629"/>
      <c r="Q261" s="629"/>
      <c r="R261" s="629"/>
      <c r="S261" s="629"/>
      <c r="T261" s="629"/>
      <c r="U261" s="629"/>
      <c r="V261" s="629"/>
      <c r="W261" s="629"/>
      <c r="X261" s="629"/>
      <c r="Y261" s="629"/>
      <c r="Z261" s="629"/>
      <c r="AA261" s="629"/>
      <c r="AB261" s="629"/>
      <c r="AC261" s="629"/>
      <c r="AD261" s="629"/>
      <c r="AE261" s="629"/>
    </row>
    <row r="262" spans="1:31" s="628" customFormat="1" ht="13" x14ac:dyDescent="0.3">
      <c r="A262" s="646"/>
      <c r="B262" s="689"/>
      <c r="C262" s="630"/>
      <c r="D262" s="668"/>
      <c r="E262" s="691"/>
      <c r="F262" s="629"/>
      <c r="G262" s="629"/>
      <c r="H262" s="629"/>
      <c r="I262" s="691"/>
      <c r="J262" s="629"/>
      <c r="K262" s="629"/>
      <c r="L262" s="629"/>
      <c r="M262" s="629"/>
      <c r="N262" s="629"/>
      <c r="O262" s="629"/>
      <c r="P262" s="629"/>
      <c r="Q262" s="629"/>
      <c r="R262" s="629"/>
      <c r="S262" s="629"/>
      <c r="T262" s="629"/>
      <c r="U262" s="629"/>
      <c r="V262" s="629"/>
      <c r="W262" s="629"/>
      <c r="X262" s="629"/>
      <c r="Y262" s="629"/>
      <c r="Z262" s="629"/>
      <c r="AA262" s="629"/>
      <c r="AB262" s="629"/>
      <c r="AC262" s="629"/>
      <c r="AD262" s="629"/>
      <c r="AE262" s="629"/>
    </row>
    <row r="263" spans="1:31" s="628" customFormat="1" ht="13" x14ac:dyDescent="0.3">
      <c r="A263" s="646"/>
      <c r="B263" s="689"/>
      <c r="C263" s="630"/>
      <c r="D263" s="668"/>
      <c r="E263" s="691"/>
      <c r="F263" s="629"/>
      <c r="G263" s="629"/>
      <c r="H263" s="629"/>
      <c r="I263" s="691"/>
      <c r="J263" s="629"/>
      <c r="K263" s="629"/>
      <c r="L263" s="629"/>
      <c r="M263" s="629"/>
      <c r="N263" s="629"/>
      <c r="O263" s="629"/>
      <c r="P263" s="629"/>
      <c r="Q263" s="629"/>
      <c r="R263" s="629"/>
      <c r="S263" s="629"/>
      <c r="T263" s="629"/>
      <c r="U263" s="629"/>
      <c r="V263" s="629"/>
      <c r="W263" s="629"/>
      <c r="X263" s="629"/>
      <c r="Y263" s="629"/>
      <c r="Z263" s="629"/>
      <c r="AA263" s="629"/>
      <c r="AB263" s="629"/>
      <c r="AC263" s="629"/>
      <c r="AD263" s="629"/>
      <c r="AE263" s="629"/>
    </row>
    <row r="264" spans="1:31" s="628" customFormat="1" ht="13" x14ac:dyDescent="0.3">
      <c r="A264" s="646"/>
      <c r="B264" s="689"/>
      <c r="C264" s="630"/>
      <c r="D264" s="668"/>
      <c r="E264" s="691"/>
      <c r="F264" s="629"/>
      <c r="G264" s="629"/>
      <c r="H264" s="629"/>
      <c r="I264" s="691"/>
      <c r="J264" s="629"/>
      <c r="K264" s="629"/>
      <c r="L264" s="629"/>
      <c r="M264" s="629"/>
      <c r="N264" s="629"/>
      <c r="O264" s="629"/>
      <c r="P264" s="629"/>
      <c r="Q264" s="629"/>
      <c r="R264" s="629"/>
      <c r="S264" s="629"/>
      <c r="T264" s="629"/>
      <c r="U264" s="629"/>
      <c r="V264" s="629"/>
      <c r="W264" s="629"/>
      <c r="X264" s="629"/>
      <c r="Y264" s="629"/>
      <c r="Z264" s="629"/>
      <c r="AA264" s="629"/>
      <c r="AB264" s="629"/>
      <c r="AC264" s="629"/>
      <c r="AD264" s="629"/>
      <c r="AE264" s="629"/>
    </row>
    <row r="265" spans="1:31" s="628" customFormat="1" ht="13" x14ac:dyDescent="0.3">
      <c r="A265" s="646"/>
      <c r="B265" s="689"/>
      <c r="C265" s="630"/>
      <c r="D265" s="668"/>
      <c r="E265" s="691"/>
      <c r="F265" s="629"/>
      <c r="G265" s="629"/>
      <c r="H265" s="629"/>
      <c r="I265" s="691"/>
      <c r="J265" s="629"/>
      <c r="K265" s="629"/>
      <c r="L265" s="629"/>
      <c r="M265" s="629"/>
      <c r="N265" s="629"/>
      <c r="O265" s="629"/>
      <c r="P265" s="629"/>
      <c r="Q265" s="629"/>
      <c r="R265" s="629"/>
      <c r="S265" s="629"/>
      <c r="T265" s="629"/>
      <c r="U265" s="629"/>
      <c r="V265" s="629"/>
      <c r="W265" s="629"/>
      <c r="X265" s="629"/>
      <c r="Y265" s="629"/>
      <c r="Z265" s="629"/>
      <c r="AA265" s="629"/>
      <c r="AB265" s="629"/>
      <c r="AC265" s="629"/>
      <c r="AD265" s="629"/>
      <c r="AE265" s="629"/>
    </row>
    <row r="266" spans="1:31" s="628" customFormat="1" ht="13" x14ac:dyDescent="0.3">
      <c r="A266" s="646"/>
      <c r="B266" s="689"/>
      <c r="C266" s="630"/>
      <c r="D266" s="668"/>
      <c r="E266" s="691"/>
      <c r="F266" s="629"/>
      <c r="G266" s="629"/>
      <c r="H266" s="629"/>
      <c r="I266" s="691"/>
      <c r="J266" s="629"/>
      <c r="K266" s="629"/>
      <c r="L266" s="629"/>
      <c r="M266" s="629"/>
      <c r="N266" s="629"/>
      <c r="O266" s="629"/>
      <c r="P266" s="629"/>
      <c r="Q266" s="629"/>
      <c r="R266" s="629"/>
      <c r="S266" s="629"/>
      <c r="T266" s="629"/>
      <c r="U266" s="629"/>
      <c r="V266" s="629"/>
      <c r="W266" s="629"/>
      <c r="X266" s="629"/>
      <c r="Y266" s="629"/>
      <c r="Z266" s="629"/>
      <c r="AA266" s="629"/>
      <c r="AB266" s="629"/>
      <c r="AC266" s="629"/>
      <c r="AD266" s="629"/>
      <c r="AE266" s="629"/>
    </row>
    <row r="267" spans="1:31" s="628" customFormat="1" ht="13" x14ac:dyDescent="0.3">
      <c r="A267" s="646"/>
      <c r="B267" s="689"/>
      <c r="C267" s="630"/>
      <c r="D267" s="668"/>
      <c r="E267" s="691"/>
      <c r="F267" s="629"/>
      <c r="G267" s="629"/>
      <c r="H267" s="629"/>
      <c r="I267" s="691"/>
      <c r="J267" s="629"/>
      <c r="K267" s="629"/>
      <c r="L267" s="629"/>
      <c r="M267" s="629"/>
      <c r="N267" s="629"/>
      <c r="O267" s="629"/>
      <c r="P267" s="629"/>
      <c r="Q267" s="629"/>
      <c r="R267" s="629"/>
      <c r="S267" s="629"/>
      <c r="T267" s="629"/>
      <c r="U267" s="629"/>
      <c r="V267" s="629"/>
      <c r="W267" s="629"/>
      <c r="X267" s="629"/>
      <c r="Y267" s="629"/>
      <c r="Z267" s="629"/>
      <c r="AA267" s="629"/>
      <c r="AB267" s="629"/>
      <c r="AC267" s="629"/>
      <c r="AD267" s="629"/>
      <c r="AE267" s="629"/>
    </row>
    <row r="268" spans="1:31" s="628" customFormat="1" ht="13" x14ac:dyDescent="0.3">
      <c r="A268" s="646"/>
      <c r="B268" s="689"/>
      <c r="C268" s="630"/>
      <c r="D268" s="668"/>
      <c r="E268" s="691"/>
      <c r="F268" s="629"/>
      <c r="G268" s="629"/>
      <c r="H268" s="629"/>
      <c r="I268" s="691"/>
      <c r="J268" s="629"/>
      <c r="K268" s="629"/>
      <c r="L268" s="629"/>
      <c r="M268" s="629"/>
      <c r="N268" s="629"/>
      <c r="O268" s="629"/>
      <c r="P268" s="629"/>
      <c r="Q268" s="629"/>
      <c r="R268" s="629"/>
      <c r="S268" s="629"/>
      <c r="T268" s="629"/>
      <c r="U268" s="629"/>
      <c r="V268" s="629"/>
      <c r="W268" s="629"/>
      <c r="X268" s="629"/>
      <c r="Y268" s="629"/>
      <c r="Z268" s="629"/>
      <c r="AA268" s="629"/>
      <c r="AB268" s="629"/>
      <c r="AC268" s="629"/>
      <c r="AD268" s="629"/>
      <c r="AE268" s="629"/>
    </row>
    <row r="269" spans="1:31" s="628" customFormat="1" ht="13" x14ac:dyDescent="0.3">
      <c r="A269" s="646"/>
      <c r="B269" s="689"/>
      <c r="C269" s="630"/>
      <c r="D269" s="668"/>
      <c r="E269" s="691"/>
      <c r="F269" s="629"/>
      <c r="G269" s="629"/>
      <c r="H269" s="629"/>
      <c r="I269" s="691"/>
      <c r="J269" s="629"/>
      <c r="K269" s="629"/>
      <c r="L269" s="629"/>
      <c r="M269" s="629"/>
      <c r="N269" s="629"/>
      <c r="O269" s="629"/>
      <c r="P269" s="629"/>
      <c r="Q269" s="629"/>
      <c r="R269" s="629"/>
      <c r="S269" s="629"/>
      <c r="T269" s="629"/>
      <c r="U269" s="629"/>
      <c r="V269" s="629"/>
      <c r="W269" s="629"/>
      <c r="X269" s="629"/>
      <c r="Y269" s="629"/>
      <c r="Z269" s="629"/>
      <c r="AA269" s="629"/>
      <c r="AB269" s="629"/>
      <c r="AC269" s="629"/>
      <c r="AD269" s="629"/>
      <c r="AE269" s="629"/>
    </row>
    <row r="270" spans="1:31" s="628" customFormat="1" ht="13" x14ac:dyDescent="0.3">
      <c r="A270" s="646"/>
      <c r="B270" s="689"/>
      <c r="C270" s="630"/>
      <c r="D270" s="668"/>
      <c r="E270" s="691"/>
      <c r="F270" s="629"/>
      <c r="G270" s="629"/>
      <c r="H270" s="629"/>
      <c r="I270" s="691"/>
      <c r="J270" s="629"/>
      <c r="K270" s="629"/>
      <c r="L270" s="629"/>
      <c r="M270" s="629"/>
      <c r="N270" s="629"/>
      <c r="O270" s="629"/>
      <c r="P270" s="629"/>
      <c r="Q270" s="629"/>
      <c r="R270" s="629"/>
      <c r="S270" s="629"/>
      <c r="T270" s="629"/>
      <c r="U270" s="629"/>
      <c r="V270" s="629"/>
      <c r="W270" s="629"/>
      <c r="X270" s="629"/>
      <c r="Y270" s="629"/>
      <c r="Z270" s="629"/>
      <c r="AA270" s="629"/>
      <c r="AB270" s="629"/>
      <c r="AC270" s="629"/>
      <c r="AD270" s="629"/>
      <c r="AE270" s="629"/>
    </row>
    <row r="271" spans="1:31" s="628" customFormat="1" ht="13" x14ac:dyDescent="0.3">
      <c r="A271" s="646"/>
      <c r="B271" s="689"/>
      <c r="C271" s="630"/>
      <c r="D271" s="668"/>
      <c r="E271" s="691"/>
      <c r="F271" s="629"/>
      <c r="G271" s="629"/>
      <c r="H271" s="629"/>
      <c r="I271" s="691"/>
      <c r="J271" s="629"/>
      <c r="K271" s="629"/>
      <c r="L271" s="629"/>
      <c r="M271" s="629"/>
      <c r="N271" s="629"/>
      <c r="O271" s="629"/>
      <c r="P271" s="629"/>
      <c r="Q271" s="629"/>
      <c r="R271" s="629"/>
      <c r="S271" s="629"/>
      <c r="T271" s="629"/>
      <c r="U271" s="629"/>
      <c r="V271" s="629"/>
      <c r="W271" s="629"/>
      <c r="X271" s="629"/>
      <c r="Y271" s="629"/>
      <c r="Z271" s="629"/>
      <c r="AA271" s="629"/>
      <c r="AB271" s="629"/>
      <c r="AC271" s="629"/>
      <c r="AD271" s="629"/>
      <c r="AE271" s="629"/>
    </row>
    <row r="272" spans="1:31" s="628" customFormat="1" ht="13" x14ac:dyDescent="0.3">
      <c r="A272" s="646"/>
      <c r="B272" s="689"/>
      <c r="C272" s="630"/>
      <c r="D272" s="668"/>
      <c r="E272" s="691"/>
      <c r="F272" s="629"/>
      <c r="G272" s="629"/>
      <c r="H272" s="629"/>
      <c r="I272" s="691"/>
      <c r="J272" s="629"/>
      <c r="K272" s="629"/>
      <c r="L272" s="629"/>
      <c r="M272" s="629"/>
      <c r="N272" s="629"/>
      <c r="O272" s="629"/>
      <c r="P272" s="629"/>
      <c r="Q272" s="629"/>
      <c r="R272" s="629"/>
      <c r="S272" s="629"/>
      <c r="T272" s="629"/>
      <c r="U272" s="629"/>
      <c r="V272" s="629"/>
      <c r="W272" s="629"/>
      <c r="X272" s="629"/>
      <c r="Y272" s="629"/>
      <c r="Z272" s="629"/>
      <c r="AA272" s="629"/>
      <c r="AB272" s="629"/>
      <c r="AC272" s="629"/>
      <c r="AD272" s="629"/>
      <c r="AE272" s="629"/>
    </row>
    <row r="273" spans="1:31" s="628" customFormat="1" ht="13" x14ac:dyDescent="0.3">
      <c r="A273" s="646"/>
      <c r="B273" s="689"/>
      <c r="C273" s="630"/>
      <c r="D273" s="668"/>
      <c r="E273" s="691"/>
      <c r="F273" s="629"/>
      <c r="G273" s="629"/>
      <c r="H273" s="629"/>
      <c r="I273" s="691"/>
      <c r="J273" s="629"/>
      <c r="K273" s="629"/>
      <c r="L273" s="629"/>
      <c r="M273" s="629"/>
      <c r="N273" s="629"/>
      <c r="O273" s="629"/>
      <c r="P273" s="629"/>
      <c r="Q273" s="629"/>
      <c r="R273" s="629"/>
      <c r="S273" s="629"/>
      <c r="T273" s="629"/>
      <c r="U273" s="629"/>
      <c r="V273" s="629"/>
      <c r="W273" s="629"/>
      <c r="X273" s="629"/>
      <c r="Y273" s="629"/>
      <c r="Z273" s="629"/>
      <c r="AA273" s="629"/>
      <c r="AB273" s="629"/>
      <c r="AC273" s="629"/>
      <c r="AD273" s="629"/>
      <c r="AE273" s="629"/>
    </row>
    <row r="274" spans="1:31" s="628" customFormat="1" ht="13" x14ac:dyDescent="0.3">
      <c r="A274" s="646"/>
      <c r="B274" s="689"/>
      <c r="C274" s="630"/>
      <c r="D274" s="668"/>
      <c r="E274" s="691"/>
      <c r="F274" s="629"/>
      <c r="G274" s="629"/>
      <c r="H274" s="629"/>
      <c r="I274" s="691"/>
      <c r="J274" s="629"/>
      <c r="K274" s="629"/>
      <c r="L274" s="629"/>
      <c r="M274" s="629"/>
      <c r="N274" s="629"/>
      <c r="O274" s="629"/>
      <c r="P274" s="629"/>
      <c r="Q274" s="629"/>
      <c r="R274" s="629"/>
      <c r="S274" s="629"/>
      <c r="T274" s="629"/>
      <c r="U274" s="629"/>
      <c r="V274" s="629"/>
      <c r="W274" s="629"/>
      <c r="X274" s="629"/>
      <c r="Y274" s="629"/>
      <c r="Z274" s="629"/>
      <c r="AA274" s="629"/>
      <c r="AB274" s="629"/>
      <c r="AC274" s="629"/>
      <c r="AD274" s="629"/>
      <c r="AE274" s="629"/>
    </row>
    <row r="275" spans="1:31" s="628" customFormat="1" ht="13" x14ac:dyDescent="0.3">
      <c r="A275" s="646"/>
      <c r="B275" s="689"/>
      <c r="C275" s="630"/>
      <c r="D275" s="668"/>
      <c r="E275" s="691"/>
      <c r="F275" s="629"/>
      <c r="G275" s="629"/>
      <c r="H275" s="629"/>
      <c r="I275" s="691"/>
      <c r="J275" s="629"/>
      <c r="K275" s="629"/>
      <c r="L275" s="629"/>
      <c r="M275" s="629"/>
      <c r="N275" s="629"/>
      <c r="O275" s="629"/>
      <c r="P275" s="629"/>
      <c r="Q275" s="629"/>
      <c r="R275" s="629"/>
      <c r="S275" s="629"/>
      <c r="T275" s="629"/>
      <c r="U275" s="629"/>
      <c r="V275" s="629"/>
      <c r="W275" s="629"/>
      <c r="X275" s="629"/>
      <c r="Y275" s="629"/>
      <c r="Z275" s="629"/>
      <c r="AA275" s="629"/>
      <c r="AB275" s="629"/>
      <c r="AC275" s="629"/>
      <c r="AD275" s="629"/>
      <c r="AE275" s="629"/>
    </row>
    <row r="276" spans="1:31" s="628" customFormat="1" ht="13" x14ac:dyDescent="0.3">
      <c r="A276" s="646"/>
      <c r="B276" s="689"/>
      <c r="C276" s="630"/>
      <c r="D276" s="668"/>
      <c r="E276" s="691"/>
      <c r="F276" s="629"/>
      <c r="G276" s="629"/>
      <c r="H276" s="629"/>
      <c r="I276" s="691"/>
      <c r="J276" s="629"/>
      <c r="K276" s="629"/>
      <c r="L276" s="629"/>
      <c r="M276" s="629"/>
      <c r="N276" s="629"/>
      <c r="O276" s="629"/>
      <c r="P276" s="629"/>
      <c r="Q276" s="629"/>
      <c r="R276" s="629"/>
      <c r="S276" s="629"/>
      <c r="T276" s="629"/>
      <c r="U276" s="629"/>
      <c r="V276" s="629"/>
      <c r="W276" s="629"/>
      <c r="X276" s="629"/>
      <c r="Y276" s="629"/>
      <c r="Z276" s="629"/>
      <c r="AA276" s="629"/>
      <c r="AB276" s="629"/>
      <c r="AC276" s="629"/>
      <c r="AD276" s="629"/>
      <c r="AE276" s="629"/>
    </row>
    <row r="277" spans="1:31" s="628" customFormat="1" ht="13" x14ac:dyDescent="0.3">
      <c r="A277" s="646"/>
      <c r="B277" s="689"/>
      <c r="C277" s="630"/>
      <c r="D277" s="668"/>
      <c r="E277" s="691"/>
      <c r="F277" s="629"/>
      <c r="G277" s="629"/>
      <c r="H277" s="629"/>
      <c r="I277" s="691"/>
      <c r="J277" s="629"/>
      <c r="K277" s="629"/>
      <c r="L277" s="629"/>
      <c r="M277" s="629"/>
      <c r="N277" s="629"/>
      <c r="O277" s="629"/>
      <c r="P277" s="629"/>
      <c r="Q277" s="629"/>
      <c r="R277" s="629"/>
      <c r="S277" s="629"/>
      <c r="T277" s="629"/>
      <c r="U277" s="629"/>
      <c r="V277" s="629"/>
      <c r="W277" s="629"/>
      <c r="X277" s="629"/>
      <c r="Y277" s="629"/>
      <c r="Z277" s="629"/>
      <c r="AA277" s="629"/>
      <c r="AB277" s="629"/>
      <c r="AC277" s="629"/>
      <c r="AD277" s="629"/>
      <c r="AE277" s="629"/>
    </row>
    <row r="278" spans="1:31" s="628" customFormat="1" ht="13" x14ac:dyDescent="0.3">
      <c r="A278" s="646"/>
      <c r="B278" s="689"/>
      <c r="C278" s="630"/>
      <c r="D278" s="668"/>
      <c r="E278" s="691"/>
      <c r="F278" s="629"/>
      <c r="G278" s="629"/>
      <c r="H278" s="629"/>
      <c r="I278" s="691"/>
      <c r="J278" s="629"/>
      <c r="K278" s="629"/>
      <c r="L278" s="629"/>
      <c r="M278" s="629"/>
      <c r="N278" s="629"/>
      <c r="O278" s="629"/>
      <c r="P278" s="629"/>
      <c r="Q278" s="629"/>
      <c r="R278" s="629"/>
      <c r="S278" s="629"/>
      <c r="T278" s="629"/>
      <c r="U278" s="629"/>
      <c r="V278" s="629"/>
      <c r="W278" s="629"/>
      <c r="X278" s="629"/>
      <c r="Y278" s="629"/>
      <c r="Z278" s="629"/>
      <c r="AA278" s="629"/>
      <c r="AB278" s="629"/>
      <c r="AC278" s="629"/>
      <c r="AD278" s="629"/>
      <c r="AE278" s="629"/>
    </row>
    <row r="279" spans="1:31" s="628" customFormat="1" ht="13" x14ac:dyDescent="0.3">
      <c r="A279" s="646"/>
      <c r="B279" s="689"/>
      <c r="C279" s="630"/>
      <c r="D279" s="668"/>
      <c r="E279" s="691"/>
      <c r="F279" s="629"/>
      <c r="G279" s="629"/>
      <c r="H279" s="629"/>
      <c r="I279" s="691"/>
      <c r="J279" s="629"/>
      <c r="K279" s="629"/>
      <c r="L279" s="629"/>
      <c r="M279" s="629"/>
      <c r="N279" s="629"/>
      <c r="O279" s="629"/>
      <c r="P279" s="629"/>
      <c r="Q279" s="629"/>
      <c r="R279" s="629"/>
      <c r="S279" s="629"/>
      <c r="T279" s="629"/>
      <c r="U279" s="629"/>
      <c r="V279" s="629"/>
      <c r="W279" s="629"/>
      <c r="X279" s="629"/>
      <c r="Y279" s="629"/>
      <c r="Z279" s="629"/>
      <c r="AA279" s="629"/>
      <c r="AB279" s="629"/>
      <c r="AC279" s="629"/>
      <c r="AD279" s="629"/>
      <c r="AE279" s="629"/>
    </row>
    <row r="280" spans="1:31" s="628" customFormat="1" ht="13" x14ac:dyDescent="0.3">
      <c r="A280" s="646"/>
      <c r="B280" s="689"/>
      <c r="C280" s="630"/>
      <c r="D280" s="668"/>
      <c r="E280" s="691"/>
      <c r="F280" s="629"/>
      <c r="G280" s="629"/>
      <c r="H280" s="629"/>
      <c r="I280" s="691"/>
      <c r="J280" s="629"/>
      <c r="K280" s="629"/>
      <c r="L280" s="629"/>
      <c r="M280" s="629"/>
      <c r="N280" s="629"/>
      <c r="O280" s="629"/>
      <c r="P280" s="629"/>
      <c r="Q280" s="629"/>
      <c r="R280" s="629"/>
      <c r="S280" s="629"/>
      <c r="T280" s="629"/>
      <c r="U280" s="629"/>
      <c r="V280" s="629"/>
      <c r="W280" s="629"/>
      <c r="X280" s="629"/>
      <c r="Y280" s="629"/>
      <c r="Z280" s="629"/>
      <c r="AA280" s="629"/>
      <c r="AB280" s="629"/>
      <c r="AC280" s="629"/>
      <c r="AD280" s="629"/>
      <c r="AE280" s="629"/>
    </row>
    <row r="281" spans="1:31" s="628" customFormat="1" ht="13" x14ac:dyDescent="0.3">
      <c r="A281" s="646"/>
      <c r="B281" s="689"/>
      <c r="C281" s="630"/>
      <c r="D281" s="668"/>
      <c r="E281" s="691"/>
      <c r="F281" s="629"/>
      <c r="G281" s="629"/>
      <c r="H281" s="629"/>
      <c r="I281" s="691"/>
      <c r="J281" s="629"/>
      <c r="K281" s="629"/>
      <c r="L281" s="629"/>
      <c r="M281" s="629"/>
      <c r="N281" s="629"/>
      <c r="O281" s="629"/>
      <c r="P281" s="629"/>
      <c r="Q281" s="629"/>
      <c r="R281" s="629"/>
      <c r="S281" s="629"/>
      <c r="T281" s="629"/>
      <c r="U281" s="629"/>
      <c r="V281" s="629"/>
      <c r="W281" s="629"/>
      <c r="X281" s="629"/>
      <c r="Y281" s="629"/>
      <c r="Z281" s="629"/>
      <c r="AA281" s="629"/>
      <c r="AB281" s="629"/>
      <c r="AC281" s="629"/>
      <c r="AD281" s="629"/>
      <c r="AE281" s="629"/>
    </row>
    <row r="282" spans="1:31" s="628" customFormat="1" ht="13" x14ac:dyDescent="0.3">
      <c r="A282" s="646"/>
      <c r="B282" s="689"/>
      <c r="C282" s="630"/>
      <c r="D282" s="668"/>
      <c r="E282" s="691"/>
      <c r="F282" s="629"/>
      <c r="G282" s="629"/>
      <c r="H282" s="629"/>
      <c r="I282" s="691"/>
      <c r="J282" s="629"/>
      <c r="K282" s="629"/>
      <c r="L282" s="629"/>
      <c r="M282" s="629"/>
      <c r="N282" s="629"/>
      <c r="O282" s="629"/>
      <c r="P282" s="629"/>
      <c r="Q282" s="629"/>
      <c r="R282" s="629"/>
      <c r="S282" s="629"/>
      <c r="T282" s="629"/>
      <c r="U282" s="629"/>
      <c r="V282" s="629"/>
      <c r="W282" s="629"/>
      <c r="X282" s="629"/>
      <c r="Y282" s="629"/>
      <c r="Z282" s="629"/>
      <c r="AA282" s="629"/>
      <c r="AB282" s="629"/>
      <c r="AC282" s="629"/>
      <c r="AD282" s="629"/>
      <c r="AE282" s="629"/>
    </row>
    <row r="283" spans="1:31" s="628" customFormat="1" ht="13" x14ac:dyDescent="0.3">
      <c r="A283" s="646"/>
      <c r="B283" s="689"/>
      <c r="C283" s="630"/>
      <c r="D283" s="668"/>
      <c r="E283" s="691"/>
      <c r="F283" s="629"/>
      <c r="G283" s="629"/>
      <c r="H283" s="629"/>
      <c r="I283" s="691"/>
      <c r="J283" s="629"/>
      <c r="K283" s="629"/>
      <c r="L283" s="629"/>
      <c r="M283" s="629"/>
      <c r="N283" s="629"/>
      <c r="O283" s="629"/>
      <c r="P283" s="629"/>
      <c r="Q283" s="629"/>
      <c r="R283" s="629"/>
      <c r="S283" s="629"/>
      <c r="T283" s="629"/>
      <c r="U283" s="629"/>
      <c r="V283" s="629"/>
      <c r="W283" s="629"/>
      <c r="X283" s="629"/>
      <c r="Y283" s="629"/>
      <c r="Z283" s="629"/>
      <c r="AA283" s="629"/>
      <c r="AB283" s="629"/>
      <c r="AC283" s="629"/>
      <c r="AD283" s="629"/>
      <c r="AE283" s="629"/>
    </row>
    <row r="284" spans="1:31" s="628" customFormat="1" ht="13" x14ac:dyDescent="0.3">
      <c r="A284" s="646"/>
      <c r="B284" s="689"/>
      <c r="C284" s="630"/>
      <c r="D284" s="668"/>
      <c r="E284" s="691"/>
      <c r="F284" s="629"/>
      <c r="G284" s="629"/>
      <c r="H284" s="629"/>
      <c r="I284" s="691"/>
      <c r="J284" s="629"/>
      <c r="K284" s="629"/>
      <c r="L284" s="629"/>
      <c r="M284" s="629"/>
      <c r="N284" s="629"/>
      <c r="O284" s="629"/>
      <c r="P284" s="629"/>
      <c r="Q284" s="629"/>
      <c r="R284" s="629"/>
      <c r="S284" s="629"/>
      <c r="T284" s="629"/>
      <c r="U284" s="629"/>
      <c r="V284" s="629"/>
      <c r="W284" s="629"/>
      <c r="X284" s="629"/>
      <c r="Y284" s="629"/>
      <c r="Z284" s="629"/>
      <c r="AA284" s="629"/>
      <c r="AB284" s="629"/>
      <c r="AC284" s="629"/>
      <c r="AD284" s="629"/>
      <c r="AE284" s="629"/>
    </row>
    <row r="285" spans="1:31" s="628" customFormat="1" ht="13" x14ac:dyDescent="0.3">
      <c r="A285" s="646"/>
      <c r="B285" s="689"/>
      <c r="C285" s="630"/>
      <c r="D285" s="668"/>
      <c r="E285" s="691"/>
      <c r="F285" s="629"/>
      <c r="G285" s="629"/>
      <c r="H285" s="629"/>
      <c r="I285" s="691"/>
      <c r="J285" s="629"/>
      <c r="K285" s="629"/>
      <c r="L285" s="629"/>
      <c r="M285" s="629"/>
      <c r="N285" s="629"/>
      <c r="O285" s="629"/>
      <c r="P285" s="629"/>
      <c r="Q285" s="629"/>
      <c r="R285" s="629"/>
      <c r="S285" s="629"/>
      <c r="T285" s="629"/>
      <c r="U285" s="629"/>
      <c r="V285" s="629"/>
      <c r="W285" s="629"/>
      <c r="X285" s="629"/>
      <c r="Y285" s="629"/>
      <c r="Z285" s="629"/>
      <c r="AA285" s="629"/>
      <c r="AB285" s="629"/>
      <c r="AC285" s="629"/>
      <c r="AD285" s="629"/>
      <c r="AE285" s="629"/>
    </row>
    <row r="286" spans="1:31" s="628" customFormat="1" ht="13" x14ac:dyDescent="0.3">
      <c r="A286" s="646"/>
      <c r="B286" s="689"/>
      <c r="C286" s="630"/>
      <c r="D286" s="668"/>
      <c r="E286" s="691"/>
      <c r="F286" s="629"/>
      <c r="G286" s="629"/>
      <c r="H286" s="629"/>
      <c r="I286" s="691"/>
      <c r="J286" s="629"/>
      <c r="K286" s="629"/>
      <c r="L286" s="629"/>
      <c r="M286" s="629"/>
      <c r="N286" s="629"/>
      <c r="O286" s="629"/>
      <c r="P286" s="629"/>
      <c r="Q286" s="629"/>
      <c r="R286" s="629"/>
      <c r="S286" s="629"/>
      <c r="T286" s="629"/>
      <c r="U286" s="629"/>
      <c r="V286" s="629"/>
      <c r="W286" s="629"/>
      <c r="X286" s="629"/>
      <c r="Y286" s="629"/>
      <c r="Z286" s="629"/>
      <c r="AA286" s="629"/>
      <c r="AB286" s="629"/>
      <c r="AC286" s="629"/>
      <c r="AD286" s="629"/>
      <c r="AE286" s="629"/>
    </row>
    <row r="287" spans="1:31" s="628" customFormat="1" ht="13" x14ac:dyDescent="0.3">
      <c r="A287" s="646"/>
      <c r="B287" s="689"/>
      <c r="C287" s="630"/>
      <c r="D287" s="668"/>
      <c r="E287" s="691"/>
      <c r="F287" s="629"/>
      <c r="G287" s="629"/>
      <c r="H287" s="629"/>
      <c r="I287" s="691"/>
      <c r="J287" s="629"/>
      <c r="K287" s="629"/>
      <c r="L287" s="629"/>
      <c r="M287" s="629"/>
      <c r="N287" s="629"/>
      <c r="O287" s="629"/>
      <c r="P287" s="629"/>
      <c r="Q287" s="629"/>
      <c r="R287" s="629"/>
      <c r="S287" s="629"/>
      <c r="T287" s="629"/>
      <c r="U287" s="629"/>
      <c r="V287" s="629"/>
      <c r="W287" s="629"/>
      <c r="X287" s="629"/>
      <c r="Y287" s="629"/>
      <c r="Z287" s="629"/>
      <c r="AA287" s="629"/>
      <c r="AB287" s="629"/>
      <c r="AC287" s="629"/>
      <c r="AD287" s="629"/>
      <c r="AE287" s="629"/>
    </row>
    <row r="288" spans="1:31" s="628" customFormat="1" ht="13" x14ac:dyDescent="0.3">
      <c r="A288" s="646"/>
      <c r="B288" s="689"/>
      <c r="C288" s="630"/>
      <c r="D288" s="668"/>
      <c r="E288" s="691"/>
      <c r="F288" s="629"/>
      <c r="G288" s="629"/>
      <c r="H288" s="629"/>
      <c r="I288" s="691"/>
      <c r="J288" s="629"/>
      <c r="K288" s="629"/>
      <c r="L288" s="629"/>
      <c r="M288" s="629"/>
      <c r="N288" s="629"/>
      <c r="O288" s="629"/>
      <c r="P288" s="629"/>
      <c r="Q288" s="629"/>
      <c r="R288" s="629"/>
      <c r="S288" s="629"/>
      <c r="T288" s="629"/>
      <c r="U288" s="629"/>
      <c r="V288" s="629"/>
      <c r="W288" s="629"/>
      <c r="X288" s="629"/>
      <c r="Y288" s="629"/>
      <c r="Z288" s="629"/>
      <c r="AA288" s="629"/>
      <c r="AB288" s="629"/>
      <c r="AC288" s="629"/>
      <c r="AD288" s="629"/>
      <c r="AE288" s="629"/>
    </row>
    <row r="289" spans="1:31" s="628" customFormat="1" ht="13" x14ac:dyDescent="0.3">
      <c r="A289" s="646"/>
      <c r="B289" s="689"/>
      <c r="C289" s="630"/>
      <c r="D289" s="668"/>
      <c r="E289" s="691"/>
      <c r="F289" s="629"/>
      <c r="G289" s="629"/>
      <c r="H289" s="629"/>
      <c r="I289" s="691"/>
      <c r="J289" s="629"/>
      <c r="K289" s="629"/>
      <c r="L289" s="629"/>
      <c r="M289" s="629"/>
      <c r="N289" s="629"/>
      <c r="O289" s="629"/>
      <c r="P289" s="629"/>
      <c r="Q289" s="629"/>
      <c r="R289" s="629"/>
      <c r="S289" s="629"/>
      <c r="T289" s="629"/>
      <c r="U289" s="629"/>
      <c r="V289" s="629"/>
      <c r="W289" s="629"/>
      <c r="X289" s="629"/>
      <c r="Y289" s="629"/>
      <c r="Z289" s="629"/>
      <c r="AA289" s="629"/>
      <c r="AB289" s="629"/>
      <c r="AC289" s="629"/>
      <c r="AD289" s="629"/>
      <c r="AE289" s="629"/>
    </row>
    <row r="290" spans="1:31" s="628" customFormat="1" ht="13" x14ac:dyDescent="0.3">
      <c r="A290" s="646"/>
      <c r="B290" s="689"/>
      <c r="C290" s="630"/>
      <c r="D290" s="668"/>
      <c r="E290" s="691"/>
      <c r="F290" s="629"/>
      <c r="G290" s="629"/>
      <c r="H290" s="629"/>
      <c r="I290" s="691"/>
      <c r="J290" s="629"/>
      <c r="K290" s="629"/>
      <c r="L290" s="629"/>
      <c r="M290" s="629"/>
      <c r="N290" s="629"/>
      <c r="O290" s="629"/>
      <c r="P290" s="629"/>
      <c r="Q290" s="629"/>
      <c r="R290" s="629"/>
      <c r="S290" s="629"/>
      <c r="T290" s="629"/>
      <c r="U290" s="629"/>
      <c r="V290" s="629"/>
      <c r="W290" s="629"/>
      <c r="X290" s="629"/>
      <c r="Y290" s="629"/>
      <c r="Z290" s="629"/>
      <c r="AA290" s="629"/>
      <c r="AB290" s="629"/>
      <c r="AC290" s="629"/>
      <c r="AD290" s="629"/>
      <c r="AE290" s="629"/>
    </row>
    <row r="291" spans="1:31" s="628" customFormat="1" ht="13" x14ac:dyDescent="0.3">
      <c r="A291" s="646"/>
      <c r="B291" s="689"/>
      <c r="C291" s="630"/>
      <c r="D291" s="668"/>
      <c r="E291" s="691"/>
      <c r="F291" s="629"/>
      <c r="G291" s="629"/>
      <c r="H291" s="629"/>
      <c r="I291" s="691"/>
      <c r="J291" s="629"/>
      <c r="K291" s="629"/>
      <c r="L291" s="629"/>
      <c r="M291" s="629"/>
      <c r="N291" s="629"/>
      <c r="O291" s="629"/>
      <c r="P291" s="629"/>
      <c r="Q291" s="629"/>
      <c r="R291" s="629"/>
      <c r="S291" s="629"/>
      <c r="T291" s="629"/>
      <c r="U291" s="629"/>
      <c r="V291" s="629"/>
      <c r="W291" s="629"/>
      <c r="X291" s="629"/>
      <c r="Y291" s="629"/>
      <c r="Z291" s="629"/>
      <c r="AA291" s="629"/>
      <c r="AB291" s="629"/>
      <c r="AC291" s="629"/>
      <c r="AD291" s="629"/>
      <c r="AE291" s="629"/>
    </row>
    <row r="292" spans="1:31" s="628" customFormat="1" ht="13" x14ac:dyDescent="0.3">
      <c r="A292" s="646"/>
      <c r="B292" s="689"/>
      <c r="C292" s="630"/>
      <c r="D292" s="668"/>
      <c r="E292" s="691"/>
      <c r="F292" s="629"/>
      <c r="G292" s="629"/>
      <c r="H292" s="629"/>
      <c r="I292" s="691"/>
      <c r="J292" s="629"/>
      <c r="K292" s="629"/>
      <c r="L292" s="629"/>
      <c r="M292" s="629"/>
      <c r="N292" s="629"/>
      <c r="O292" s="629"/>
      <c r="P292" s="629"/>
      <c r="Q292" s="629"/>
      <c r="R292" s="629"/>
      <c r="S292" s="629"/>
      <c r="T292" s="629"/>
      <c r="U292" s="629"/>
      <c r="V292" s="629"/>
      <c r="W292" s="629"/>
      <c r="X292" s="629"/>
      <c r="Y292" s="629"/>
      <c r="Z292" s="629"/>
      <c r="AA292" s="629"/>
      <c r="AB292" s="629"/>
      <c r="AC292" s="629"/>
      <c r="AD292" s="629"/>
      <c r="AE292" s="629"/>
    </row>
    <row r="293" spans="1:31" s="628" customFormat="1" ht="13" x14ac:dyDescent="0.3">
      <c r="A293" s="646"/>
      <c r="B293" s="689"/>
      <c r="C293" s="630"/>
      <c r="D293" s="668"/>
      <c r="E293" s="691"/>
      <c r="F293" s="629"/>
      <c r="G293" s="629"/>
      <c r="H293" s="629"/>
      <c r="I293" s="691"/>
      <c r="J293" s="629"/>
      <c r="K293" s="629"/>
      <c r="L293" s="629"/>
      <c r="M293" s="629"/>
      <c r="N293" s="629"/>
      <c r="O293" s="629"/>
      <c r="P293" s="629"/>
      <c r="Q293" s="629"/>
      <c r="R293" s="629"/>
      <c r="S293" s="629"/>
      <c r="T293" s="629"/>
      <c r="U293" s="629"/>
      <c r="V293" s="629"/>
      <c r="W293" s="629"/>
      <c r="X293" s="629"/>
      <c r="Y293" s="629"/>
      <c r="Z293" s="629"/>
      <c r="AA293" s="629"/>
      <c r="AB293" s="629"/>
      <c r="AC293" s="629"/>
      <c r="AD293" s="629"/>
      <c r="AE293" s="629"/>
    </row>
    <row r="294" spans="1:31" s="628" customFormat="1" ht="13" x14ac:dyDescent="0.3">
      <c r="A294" s="646"/>
      <c r="B294" s="689"/>
      <c r="C294" s="630"/>
      <c r="D294" s="668"/>
      <c r="E294" s="691"/>
      <c r="F294" s="629"/>
      <c r="G294" s="629"/>
      <c r="H294" s="629"/>
      <c r="I294" s="691"/>
      <c r="J294" s="629"/>
      <c r="K294" s="629"/>
      <c r="L294" s="629"/>
      <c r="M294" s="629"/>
      <c r="N294" s="629"/>
      <c r="O294" s="629"/>
      <c r="P294" s="629"/>
      <c r="Q294" s="629"/>
      <c r="R294" s="629"/>
      <c r="S294" s="629"/>
      <c r="T294" s="629"/>
      <c r="U294" s="629"/>
      <c r="V294" s="629"/>
      <c r="W294" s="629"/>
      <c r="X294" s="629"/>
      <c r="Y294" s="629"/>
      <c r="Z294" s="629"/>
      <c r="AA294" s="629"/>
      <c r="AB294" s="629"/>
      <c r="AC294" s="629"/>
      <c r="AD294" s="629"/>
      <c r="AE294" s="629"/>
    </row>
    <row r="295" spans="1:31" s="628" customFormat="1" ht="13" x14ac:dyDescent="0.3">
      <c r="A295" s="646"/>
      <c r="B295" s="689"/>
      <c r="C295" s="630"/>
      <c r="D295" s="668"/>
      <c r="E295" s="691"/>
      <c r="F295" s="629"/>
      <c r="G295" s="629"/>
      <c r="H295" s="629"/>
      <c r="I295" s="691"/>
      <c r="J295" s="629"/>
      <c r="K295" s="629"/>
      <c r="L295" s="629"/>
      <c r="M295" s="629"/>
      <c r="N295" s="629"/>
      <c r="O295" s="629"/>
      <c r="P295" s="629"/>
      <c r="Q295" s="629"/>
      <c r="R295" s="629"/>
      <c r="S295" s="629"/>
      <c r="T295" s="629"/>
      <c r="U295" s="629"/>
      <c r="V295" s="629"/>
      <c r="W295" s="629"/>
      <c r="X295" s="629"/>
      <c r="Y295" s="629"/>
      <c r="Z295" s="629"/>
      <c r="AA295" s="629"/>
      <c r="AB295" s="629"/>
      <c r="AC295" s="629"/>
      <c r="AD295" s="629"/>
      <c r="AE295" s="629"/>
    </row>
    <row r="296" spans="1:31" s="628" customFormat="1" ht="13" x14ac:dyDescent="0.3">
      <c r="A296" s="646"/>
      <c r="B296" s="689"/>
      <c r="C296" s="630"/>
      <c r="D296" s="668"/>
      <c r="E296" s="691"/>
      <c r="F296" s="629"/>
      <c r="G296" s="629"/>
      <c r="H296" s="629"/>
      <c r="I296" s="691"/>
      <c r="J296" s="629"/>
      <c r="K296" s="629"/>
      <c r="L296" s="629"/>
      <c r="M296" s="629"/>
      <c r="N296" s="629"/>
      <c r="O296" s="629"/>
      <c r="P296" s="629"/>
      <c r="Q296" s="629"/>
      <c r="R296" s="629"/>
      <c r="S296" s="629"/>
      <c r="T296" s="629"/>
      <c r="U296" s="629"/>
      <c r="V296" s="629"/>
      <c r="W296" s="629"/>
      <c r="X296" s="629"/>
      <c r="Y296" s="629"/>
      <c r="Z296" s="629"/>
      <c r="AA296" s="629"/>
      <c r="AB296" s="629"/>
      <c r="AC296" s="629"/>
      <c r="AD296" s="629"/>
      <c r="AE296" s="629"/>
    </row>
    <row r="297" spans="1:31" s="628" customFormat="1" ht="13" x14ac:dyDescent="0.3">
      <c r="A297" s="646"/>
      <c r="B297" s="689"/>
      <c r="C297" s="630"/>
      <c r="D297" s="668"/>
      <c r="E297" s="691"/>
      <c r="F297" s="629"/>
      <c r="G297" s="629"/>
      <c r="H297" s="629"/>
      <c r="I297" s="691"/>
      <c r="J297" s="629"/>
      <c r="K297" s="629"/>
      <c r="L297" s="629"/>
      <c r="M297" s="629"/>
      <c r="N297" s="629"/>
      <c r="O297" s="629"/>
      <c r="P297" s="629"/>
      <c r="Q297" s="629"/>
      <c r="R297" s="629"/>
      <c r="S297" s="629"/>
      <c r="T297" s="629"/>
      <c r="U297" s="629"/>
      <c r="V297" s="629"/>
      <c r="W297" s="629"/>
      <c r="X297" s="629"/>
      <c r="Y297" s="629"/>
      <c r="Z297" s="629"/>
      <c r="AA297" s="629"/>
      <c r="AB297" s="629"/>
      <c r="AC297" s="629"/>
      <c r="AD297" s="629"/>
      <c r="AE297" s="629"/>
    </row>
    <row r="298" spans="1:31" s="628" customFormat="1" ht="13" x14ac:dyDescent="0.3">
      <c r="A298" s="646"/>
      <c r="B298" s="689"/>
      <c r="C298" s="630"/>
      <c r="D298" s="668"/>
      <c r="E298" s="691"/>
      <c r="F298" s="629"/>
      <c r="G298" s="629"/>
      <c r="H298" s="629"/>
      <c r="I298" s="691"/>
      <c r="J298" s="629"/>
      <c r="K298" s="629"/>
      <c r="L298" s="629"/>
      <c r="M298" s="629"/>
      <c r="N298" s="629"/>
      <c r="O298" s="629"/>
      <c r="P298" s="629"/>
      <c r="Q298" s="629"/>
      <c r="R298" s="629"/>
      <c r="S298" s="629"/>
      <c r="T298" s="629"/>
      <c r="U298" s="629"/>
      <c r="V298" s="629"/>
      <c r="W298" s="629"/>
      <c r="X298" s="629"/>
      <c r="Y298" s="629"/>
      <c r="Z298" s="629"/>
      <c r="AA298" s="629"/>
      <c r="AB298" s="629"/>
      <c r="AC298" s="629"/>
      <c r="AD298" s="629"/>
      <c r="AE298" s="629"/>
    </row>
    <row r="299" spans="1:31" s="628" customFormat="1" ht="13" x14ac:dyDescent="0.3">
      <c r="A299" s="646"/>
      <c r="B299" s="689"/>
      <c r="C299" s="630"/>
      <c r="D299" s="668"/>
      <c r="E299" s="691"/>
      <c r="F299" s="629"/>
      <c r="G299" s="629"/>
      <c r="H299" s="629"/>
      <c r="I299" s="691"/>
      <c r="J299" s="629"/>
      <c r="K299" s="629"/>
      <c r="L299" s="629"/>
      <c r="M299" s="629"/>
      <c r="N299" s="629"/>
      <c r="O299" s="629"/>
      <c r="P299" s="629"/>
      <c r="Q299" s="629"/>
      <c r="R299" s="629"/>
      <c r="S299" s="629"/>
      <c r="T299" s="629"/>
      <c r="U299" s="629"/>
      <c r="V299" s="629"/>
      <c r="W299" s="629"/>
      <c r="X299" s="629"/>
      <c r="Y299" s="629"/>
      <c r="Z299" s="629"/>
      <c r="AA299" s="629"/>
      <c r="AB299" s="629"/>
      <c r="AC299" s="629"/>
      <c r="AD299" s="629"/>
      <c r="AE299" s="629"/>
    </row>
    <row r="300" spans="1:31" s="628" customFormat="1" ht="13" x14ac:dyDescent="0.3">
      <c r="A300" s="646"/>
      <c r="B300" s="689"/>
      <c r="C300" s="630"/>
      <c r="D300" s="668"/>
      <c r="E300" s="691"/>
      <c r="F300" s="629"/>
      <c r="G300" s="629"/>
      <c r="H300" s="629"/>
      <c r="I300" s="691"/>
      <c r="J300" s="629"/>
      <c r="K300" s="629"/>
      <c r="L300" s="629"/>
      <c r="M300" s="629"/>
      <c r="N300" s="629"/>
      <c r="O300" s="629"/>
      <c r="P300" s="629"/>
      <c r="Q300" s="629"/>
      <c r="R300" s="629"/>
      <c r="S300" s="629"/>
      <c r="T300" s="629"/>
      <c r="U300" s="629"/>
      <c r="V300" s="629"/>
      <c r="W300" s="629"/>
      <c r="X300" s="629"/>
      <c r="Y300" s="629"/>
      <c r="Z300" s="629"/>
      <c r="AA300" s="629"/>
      <c r="AB300" s="629"/>
      <c r="AC300" s="629"/>
      <c r="AD300" s="629"/>
      <c r="AE300" s="629"/>
    </row>
    <row r="301" spans="1:31" s="628" customFormat="1" ht="13" x14ac:dyDescent="0.3">
      <c r="A301" s="646"/>
      <c r="B301" s="689"/>
      <c r="C301" s="630"/>
      <c r="D301" s="668"/>
      <c r="E301" s="691"/>
      <c r="F301" s="629"/>
      <c r="G301" s="629"/>
      <c r="H301" s="629"/>
      <c r="I301" s="691"/>
      <c r="J301" s="629"/>
      <c r="K301" s="629"/>
      <c r="L301" s="629"/>
      <c r="M301" s="629"/>
      <c r="N301" s="629"/>
      <c r="O301" s="629"/>
      <c r="P301" s="629"/>
      <c r="Q301" s="629"/>
      <c r="R301" s="629"/>
      <c r="S301" s="629"/>
      <c r="T301" s="629"/>
      <c r="U301" s="629"/>
      <c r="V301" s="629"/>
      <c r="W301" s="629"/>
      <c r="X301" s="629"/>
      <c r="Y301" s="629"/>
      <c r="Z301" s="629"/>
      <c r="AA301" s="629"/>
      <c r="AB301" s="629"/>
      <c r="AC301" s="629"/>
      <c r="AD301" s="629"/>
      <c r="AE301" s="629"/>
    </row>
    <row r="302" spans="1:31" s="628" customFormat="1" ht="13" x14ac:dyDescent="0.3">
      <c r="A302" s="646"/>
      <c r="B302" s="689"/>
      <c r="C302" s="630"/>
      <c r="D302" s="668"/>
      <c r="E302" s="691"/>
      <c r="F302" s="629"/>
      <c r="G302" s="629"/>
      <c r="H302" s="629"/>
      <c r="I302" s="691"/>
      <c r="J302" s="629"/>
      <c r="K302" s="629"/>
      <c r="L302" s="629"/>
      <c r="M302" s="629"/>
      <c r="N302" s="629"/>
      <c r="O302" s="629"/>
      <c r="P302" s="629"/>
      <c r="Q302" s="629"/>
      <c r="R302" s="629"/>
      <c r="S302" s="629"/>
      <c r="T302" s="629"/>
      <c r="U302" s="629"/>
      <c r="V302" s="629"/>
      <c r="W302" s="629"/>
      <c r="X302" s="629"/>
      <c r="Y302" s="629"/>
      <c r="Z302" s="629"/>
      <c r="AA302" s="629"/>
      <c r="AB302" s="629"/>
      <c r="AC302" s="629"/>
      <c r="AD302" s="629"/>
      <c r="AE302" s="629"/>
    </row>
    <row r="303" spans="1:31" s="628" customFormat="1" ht="13" x14ac:dyDescent="0.3">
      <c r="A303" s="646"/>
      <c r="B303" s="689"/>
      <c r="C303" s="630"/>
      <c r="D303" s="668"/>
      <c r="E303" s="691"/>
      <c r="F303" s="629"/>
      <c r="G303" s="629"/>
      <c r="H303" s="629"/>
      <c r="I303" s="691"/>
      <c r="J303" s="629"/>
      <c r="K303" s="629"/>
      <c r="L303" s="629"/>
      <c r="M303" s="629"/>
      <c r="N303" s="629"/>
      <c r="O303" s="629"/>
      <c r="P303" s="629"/>
      <c r="Q303" s="629"/>
      <c r="R303" s="629"/>
      <c r="S303" s="629"/>
      <c r="T303" s="629"/>
      <c r="U303" s="629"/>
      <c r="V303" s="629"/>
      <c r="W303" s="629"/>
      <c r="X303" s="629"/>
      <c r="Y303" s="629"/>
      <c r="Z303" s="629"/>
      <c r="AA303" s="629"/>
      <c r="AB303" s="629"/>
      <c r="AC303" s="629"/>
      <c r="AD303" s="629"/>
      <c r="AE303" s="629"/>
    </row>
    <row r="304" spans="1:31" s="628" customFormat="1" ht="13" x14ac:dyDescent="0.3">
      <c r="A304" s="646"/>
      <c r="B304" s="689"/>
      <c r="C304" s="630"/>
      <c r="D304" s="668"/>
      <c r="E304" s="691"/>
      <c r="F304" s="629"/>
      <c r="G304" s="629"/>
      <c r="H304" s="629"/>
      <c r="I304" s="691"/>
      <c r="J304" s="629"/>
      <c r="K304" s="629"/>
      <c r="L304" s="629"/>
      <c r="M304" s="629"/>
      <c r="N304" s="629"/>
      <c r="O304" s="629"/>
      <c r="P304" s="629"/>
      <c r="Q304" s="629"/>
      <c r="R304" s="629"/>
      <c r="S304" s="629"/>
      <c r="T304" s="629"/>
      <c r="U304" s="629"/>
      <c r="V304" s="629"/>
      <c r="W304" s="629"/>
      <c r="X304" s="629"/>
      <c r="Y304" s="629"/>
      <c r="Z304" s="629"/>
      <c r="AA304" s="629"/>
      <c r="AB304" s="629"/>
      <c r="AC304" s="629"/>
      <c r="AD304" s="629"/>
      <c r="AE304" s="629"/>
    </row>
    <row r="305" spans="1:31" s="628" customFormat="1" ht="13" x14ac:dyDescent="0.3">
      <c r="A305" s="646"/>
      <c r="B305" s="689"/>
      <c r="C305" s="630"/>
      <c r="D305" s="668"/>
      <c r="E305" s="691"/>
      <c r="F305" s="629"/>
      <c r="G305" s="629"/>
      <c r="H305" s="629"/>
      <c r="I305" s="691"/>
      <c r="J305" s="629"/>
      <c r="K305" s="629"/>
      <c r="L305" s="629"/>
      <c r="M305" s="629"/>
      <c r="N305" s="629"/>
      <c r="O305" s="629"/>
      <c r="P305" s="629"/>
      <c r="Q305" s="629"/>
      <c r="R305" s="629"/>
      <c r="S305" s="629"/>
      <c r="T305" s="629"/>
      <c r="U305" s="629"/>
      <c r="V305" s="629"/>
      <c r="W305" s="629"/>
      <c r="X305" s="629"/>
      <c r="Y305" s="629"/>
      <c r="Z305" s="629"/>
      <c r="AA305" s="629"/>
      <c r="AB305" s="629"/>
      <c r="AC305" s="629"/>
      <c r="AD305" s="629"/>
      <c r="AE305" s="629"/>
    </row>
    <row r="306" spans="1:31" s="628" customFormat="1" ht="13" x14ac:dyDescent="0.3">
      <c r="A306" s="646"/>
      <c r="B306" s="689"/>
      <c r="C306" s="630"/>
      <c r="D306" s="668"/>
      <c r="E306" s="691"/>
      <c r="F306" s="629"/>
      <c r="G306" s="629"/>
      <c r="H306" s="629"/>
      <c r="I306" s="691"/>
      <c r="J306" s="629"/>
      <c r="K306" s="629"/>
      <c r="L306" s="629"/>
      <c r="M306" s="629"/>
      <c r="N306" s="629"/>
      <c r="O306" s="629"/>
      <c r="P306" s="629"/>
      <c r="Q306" s="629"/>
      <c r="R306" s="629"/>
      <c r="S306" s="629"/>
      <c r="T306" s="629"/>
      <c r="U306" s="629"/>
      <c r="V306" s="629"/>
      <c r="W306" s="629"/>
      <c r="X306" s="629"/>
      <c r="Y306" s="629"/>
      <c r="Z306" s="629"/>
      <c r="AA306" s="629"/>
      <c r="AB306" s="629"/>
      <c r="AC306" s="629"/>
      <c r="AD306" s="629"/>
      <c r="AE306" s="629"/>
    </row>
    <row r="307" spans="1:31" s="628" customFormat="1" ht="13" x14ac:dyDescent="0.3">
      <c r="A307" s="646"/>
      <c r="B307" s="689"/>
      <c r="C307" s="630"/>
      <c r="D307" s="668"/>
      <c r="E307" s="691"/>
      <c r="F307" s="629"/>
      <c r="G307" s="629"/>
      <c r="H307" s="629"/>
      <c r="I307" s="691"/>
      <c r="J307" s="629"/>
      <c r="K307" s="629"/>
      <c r="L307" s="629"/>
      <c r="M307" s="629"/>
      <c r="N307" s="629"/>
      <c r="O307" s="629"/>
      <c r="P307" s="629"/>
      <c r="Q307" s="629"/>
      <c r="R307" s="629"/>
      <c r="S307" s="629"/>
      <c r="T307" s="629"/>
      <c r="U307" s="629"/>
      <c r="V307" s="629"/>
      <c r="W307" s="629"/>
      <c r="X307" s="629"/>
      <c r="Y307" s="629"/>
      <c r="Z307" s="629"/>
      <c r="AA307" s="629"/>
      <c r="AB307" s="629"/>
      <c r="AC307" s="629"/>
      <c r="AD307" s="629"/>
      <c r="AE307" s="629"/>
    </row>
    <row r="308" spans="1:31" s="628" customFormat="1" ht="13" x14ac:dyDescent="0.3">
      <c r="A308" s="646"/>
      <c r="B308" s="689"/>
      <c r="C308" s="630"/>
      <c r="D308" s="668"/>
      <c r="E308" s="691"/>
      <c r="F308" s="629"/>
      <c r="G308" s="629"/>
      <c r="H308" s="629"/>
      <c r="I308" s="691"/>
      <c r="J308" s="629"/>
      <c r="K308" s="629"/>
      <c r="L308" s="629"/>
      <c r="M308" s="629"/>
      <c r="N308" s="629"/>
      <c r="O308" s="629"/>
      <c r="P308" s="629"/>
      <c r="Q308" s="629"/>
      <c r="R308" s="629"/>
      <c r="S308" s="629"/>
      <c r="T308" s="629"/>
      <c r="U308" s="629"/>
      <c r="V308" s="629"/>
      <c r="W308" s="629"/>
      <c r="X308" s="629"/>
      <c r="Y308" s="629"/>
      <c r="Z308" s="629"/>
      <c r="AA308" s="629"/>
      <c r="AB308" s="629"/>
      <c r="AC308" s="629"/>
      <c r="AD308" s="629"/>
      <c r="AE308" s="629"/>
    </row>
    <row r="309" spans="1:31" s="628" customFormat="1" ht="13" x14ac:dyDescent="0.3">
      <c r="A309" s="646"/>
      <c r="B309" s="689"/>
      <c r="C309" s="630"/>
      <c r="D309" s="668"/>
      <c r="E309" s="691"/>
      <c r="F309" s="629"/>
      <c r="G309" s="629"/>
      <c r="H309" s="629"/>
      <c r="I309" s="691"/>
      <c r="J309" s="629"/>
      <c r="K309" s="629"/>
      <c r="L309" s="629"/>
      <c r="M309" s="629"/>
      <c r="N309" s="629"/>
      <c r="O309" s="629"/>
      <c r="P309" s="629"/>
      <c r="Q309" s="629"/>
      <c r="R309" s="629"/>
      <c r="S309" s="629"/>
      <c r="T309" s="629"/>
      <c r="U309" s="629"/>
      <c r="V309" s="629"/>
      <c r="W309" s="629"/>
      <c r="X309" s="629"/>
      <c r="Y309" s="629"/>
      <c r="Z309" s="629"/>
      <c r="AA309" s="629"/>
      <c r="AB309" s="629"/>
      <c r="AC309" s="629"/>
      <c r="AD309" s="629"/>
      <c r="AE309" s="629"/>
    </row>
    <row r="310" spans="1:31" s="628" customFormat="1" ht="13" x14ac:dyDescent="0.3">
      <c r="A310" s="646"/>
      <c r="B310" s="689"/>
      <c r="C310" s="630"/>
      <c r="D310" s="668"/>
      <c r="E310" s="691"/>
      <c r="F310" s="629"/>
      <c r="G310" s="629"/>
      <c r="H310" s="629"/>
      <c r="I310" s="691"/>
      <c r="J310" s="629"/>
      <c r="K310" s="629"/>
      <c r="L310" s="629"/>
      <c r="M310" s="629"/>
      <c r="N310" s="629"/>
      <c r="O310" s="629"/>
      <c r="P310" s="629"/>
      <c r="Q310" s="629"/>
      <c r="R310" s="629"/>
      <c r="S310" s="629"/>
      <c r="T310" s="629"/>
      <c r="U310" s="629"/>
      <c r="V310" s="629"/>
      <c r="W310" s="629"/>
      <c r="X310" s="629"/>
      <c r="Y310" s="629"/>
      <c r="Z310" s="629"/>
      <c r="AA310" s="629"/>
      <c r="AB310" s="629"/>
      <c r="AC310" s="629"/>
      <c r="AD310" s="629"/>
      <c r="AE310" s="629"/>
    </row>
    <row r="311" spans="1:31" s="628" customFormat="1" ht="13" x14ac:dyDescent="0.3">
      <c r="A311" s="646"/>
      <c r="B311" s="689"/>
      <c r="C311" s="630"/>
      <c r="D311" s="668"/>
      <c r="E311" s="691"/>
      <c r="F311" s="629"/>
      <c r="G311" s="629"/>
      <c r="H311" s="629"/>
      <c r="I311" s="691"/>
      <c r="J311" s="629"/>
      <c r="K311" s="629"/>
      <c r="L311" s="629"/>
      <c r="M311" s="629"/>
      <c r="N311" s="629"/>
      <c r="O311" s="629"/>
      <c r="P311" s="629"/>
      <c r="Q311" s="629"/>
      <c r="R311" s="629"/>
      <c r="S311" s="629"/>
      <c r="T311" s="629"/>
      <c r="U311" s="629"/>
      <c r="V311" s="629"/>
      <c r="W311" s="629"/>
      <c r="X311" s="629"/>
      <c r="Y311" s="629"/>
      <c r="Z311" s="629"/>
      <c r="AA311" s="629"/>
      <c r="AB311" s="629"/>
      <c r="AC311" s="629"/>
      <c r="AD311" s="629"/>
      <c r="AE311" s="629"/>
    </row>
    <row r="312" spans="1:31" s="628" customFormat="1" ht="13" x14ac:dyDescent="0.3">
      <c r="A312" s="646"/>
      <c r="B312" s="689"/>
      <c r="C312" s="630"/>
      <c r="D312" s="668"/>
      <c r="E312" s="691"/>
      <c r="F312" s="629"/>
      <c r="G312" s="629"/>
      <c r="H312" s="629"/>
      <c r="I312" s="691"/>
      <c r="J312" s="629"/>
      <c r="K312" s="629"/>
      <c r="L312" s="629"/>
      <c r="M312" s="629"/>
      <c r="N312" s="629"/>
      <c r="O312" s="629"/>
      <c r="P312" s="629"/>
      <c r="Q312" s="629"/>
      <c r="R312" s="629"/>
      <c r="S312" s="629"/>
      <c r="T312" s="629"/>
      <c r="U312" s="629"/>
      <c r="V312" s="629"/>
      <c r="W312" s="629"/>
      <c r="X312" s="629"/>
      <c r="Y312" s="629"/>
      <c r="Z312" s="629"/>
      <c r="AA312" s="629"/>
      <c r="AB312" s="629"/>
      <c r="AC312" s="629"/>
      <c r="AD312" s="629"/>
      <c r="AE312" s="629"/>
    </row>
    <row r="313" spans="1:31" s="628" customFormat="1" ht="13" x14ac:dyDescent="0.3">
      <c r="A313" s="646"/>
      <c r="B313" s="689"/>
      <c r="C313" s="630"/>
      <c r="D313" s="668"/>
      <c r="E313" s="691"/>
      <c r="F313" s="629"/>
      <c r="G313" s="629"/>
      <c r="H313" s="629"/>
      <c r="I313" s="691"/>
      <c r="J313" s="629"/>
      <c r="K313" s="629"/>
      <c r="L313" s="629"/>
      <c r="M313" s="629"/>
      <c r="N313" s="629"/>
      <c r="O313" s="629"/>
      <c r="P313" s="629"/>
      <c r="Q313" s="629"/>
      <c r="R313" s="629"/>
      <c r="S313" s="629"/>
      <c r="T313" s="629"/>
      <c r="U313" s="629"/>
      <c r="V313" s="629"/>
      <c r="W313" s="629"/>
      <c r="X313" s="629"/>
      <c r="Y313" s="629"/>
      <c r="Z313" s="629"/>
      <c r="AA313" s="629"/>
      <c r="AB313" s="629"/>
      <c r="AC313" s="629"/>
      <c r="AD313" s="629"/>
      <c r="AE313" s="629"/>
    </row>
    <row r="314" spans="1:31" s="628" customFormat="1" ht="13" x14ac:dyDescent="0.3">
      <c r="A314" s="646"/>
      <c r="B314" s="689"/>
      <c r="C314" s="630"/>
      <c r="D314" s="668"/>
      <c r="E314" s="691"/>
      <c r="F314" s="629"/>
      <c r="G314" s="629"/>
      <c r="H314" s="629"/>
      <c r="I314" s="691"/>
      <c r="J314" s="629"/>
      <c r="K314" s="629"/>
      <c r="L314" s="629"/>
      <c r="M314" s="629"/>
      <c r="N314" s="629"/>
      <c r="O314" s="629"/>
      <c r="P314" s="629"/>
      <c r="Q314" s="629"/>
      <c r="R314" s="629"/>
      <c r="S314" s="629"/>
      <c r="T314" s="629"/>
      <c r="U314" s="629"/>
      <c r="V314" s="629"/>
      <c r="W314" s="629"/>
      <c r="X314" s="629"/>
      <c r="Y314" s="629"/>
      <c r="Z314" s="629"/>
      <c r="AA314" s="629"/>
      <c r="AB314" s="629"/>
      <c r="AC314" s="629"/>
      <c r="AD314" s="629"/>
      <c r="AE314" s="629"/>
    </row>
    <row r="315" spans="1:31" s="628" customFormat="1" ht="13" x14ac:dyDescent="0.3">
      <c r="A315" s="646"/>
      <c r="B315" s="689"/>
      <c r="C315" s="630"/>
      <c r="D315" s="668"/>
      <c r="E315" s="691"/>
      <c r="F315" s="629"/>
      <c r="G315" s="629"/>
      <c r="H315" s="629"/>
      <c r="I315" s="691"/>
      <c r="J315" s="629"/>
      <c r="K315" s="629"/>
      <c r="L315" s="629"/>
      <c r="M315" s="629"/>
      <c r="N315" s="629"/>
      <c r="O315" s="629"/>
      <c r="P315" s="629"/>
      <c r="Q315" s="629"/>
      <c r="R315" s="629"/>
      <c r="S315" s="629"/>
      <c r="T315" s="629"/>
      <c r="U315" s="629"/>
      <c r="V315" s="629"/>
      <c r="W315" s="629"/>
      <c r="X315" s="629"/>
      <c r="Y315" s="629"/>
      <c r="Z315" s="629"/>
      <c r="AA315" s="629"/>
      <c r="AB315" s="629"/>
      <c r="AC315" s="629"/>
      <c r="AD315" s="629"/>
      <c r="AE315" s="629"/>
    </row>
    <row r="316" spans="1:31" s="628" customFormat="1" ht="13" x14ac:dyDescent="0.3">
      <c r="A316" s="646"/>
      <c r="B316" s="689"/>
      <c r="C316" s="630"/>
      <c r="D316" s="668"/>
      <c r="E316" s="691"/>
      <c r="F316" s="629"/>
      <c r="G316" s="629"/>
      <c r="H316" s="629"/>
      <c r="I316" s="691"/>
      <c r="J316" s="629"/>
      <c r="K316" s="629"/>
      <c r="L316" s="629"/>
      <c r="M316" s="629"/>
      <c r="N316" s="629"/>
      <c r="O316" s="629"/>
      <c r="P316" s="629"/>
      <c r="Q316" s="629"/>
      <c r="R316" s="629"/>
      <c r="S316" s="629"/>
      <c r="T316" s="629"/>
      <c r="U316" s="629"/>
      <c r="V316" s="629"/>
      <c r="W316" s="629"/>
      <c r="X316" s="629"/>
      <c r="Y316" s="629"/>
      <c r="Z316" s="629"/>
      <c r="AA316" s="629"/>
      <c r="AB316" s="629"/>
      <c r="AC316" s="629"/>
      <c r="AD316" s="629"/>
      <c r="AE316" s="629"/>
    </row>
    <row r="317" spans="1:31" s="628" customFormat="1" ht="13" x14ac:dyDescent="0.3">
      <c r="A317" s="646"/>
      <c r="B317" s="689"/>
      <c r="C317" s="630"/>
      <c r="D317" s="668"/>
      <c r="E317" s="691"/>
      <c r="F317" s="629"/>
      <c r="G317" s="629"/>
      <c r="H317" s="629"/>
      <c r="I317" s="691"/>
      <c r="J317" s="629"/>
      <c r="K317" s="629"/>
      <c r="L317" s="629"/>
      <c r="M317" s="629"/>
      <c r="N317" s="629"/>
      <c r="O317" s="629"/>
      <c r="P317" s="629"/>
      <c r="Q317" s="629"/>
      <c r="R317" s="629"/>
      <c r="S317" s="629"/>
      <c r="T317" s="629"/>
      <c r="U317" s="629"/>
      <c r="V317" s="629"/>
      <c r="W317" s="629"/>
      <c r="X317" s="629"/>
      <c r="Y317" s="629"/>
      <c r="Z317" s="629"/>
      <c r="AA317" s="629"/>
      <c r="AB317" s="629"/>
      <c r="AC317" s="629"/>
      <c r="AD317" s="629"/>
      <c r="AE317" s="629"/>
    </row>
    <row r="318" spans="1:31" s="628" customFormat="1" ht="13" x14ac:dyDescent="0.3">
      <c r="A318" s="646"/>
      <c r="B318" s="689"/>
      <c r="C318" s="630"/>
      <c r="D318" s="668"/>
      <c r="E318" s="691"/>
      <c r="F318" s="629"/>
      <c r="G318" s="629"/>
      <c r="H318" s="629"/>
      <c r="I318" s="691"/>
      <c r="J318" s="629"/>
      <c r="K318" s="629"/>
      <c r="L318" s="629"/>
      <c r="M318" s="629"/>
      <c r="N318" s="629"/>
      <c r="O318" s="629"/>
      <c r="P318" s="629"/>
      <c r="Q318" s="629"/>
      <c r="R318" s="629"/>
      <c r="S318" s="629"/>
      <c r="T318" s="629"/>
      <c r="U318" s="629"/>
      <c r="V318" s="629"/>
      <c r="W318" s="629"/>
      <c r="X318" s="629"/>
      <c r="Y318" s="629"/>
      <c r="Z318" s="629"/>
      <c r="AA318" s="629"/>
      <c r="AB318" s="629"/>
      <c r="AC318" s="629"/>
      <c r="AD318" s="629"/>
      <c r="AE318" s="629"/>
    </row>
    <row r="319" spans="1:31" s="628" customFormat="1" ht="13" x14ac:dyDescent="0.3">
      <c r="A319" s="646"/>
      <c r="B319" s="689"/>
      <c r="C319" s="630"/>
      <c r="D319" s="668"/>
      <c r="E319" s="691"/>
      <c r="F319" s="629"/>
      <c r="G319" s="629"/>
      <c r="H319" s="629"/>
      <c r="I319" s="691"/>
      <c r="J319" s="629"/>
      <c r="K319" s="629"/>
      <c r="L319" s="629"/>
      <c r="M319" s="629"/>
      <c r="N319" s="629"/>
      <c r="O319" s="629"/>
      <c r="P319" s="629"/>
      <c r="Q319" s="629"/>
      <c r="R319" s="629"/>
      <c r="S319" s="629"/>
      <c r="T319" s="629"/>
      <c r="U319" s="629"/>
      <c r="V319" s="629"/>
      <c r="W319" s="629"/>
      <c r="X319" s="629"/>
      <c r="Y319" s="629"/>
      <c r="Z319" s="629"/>
      <c r="AA319" s="629"/>
      <c r="AB319" s="629"/>
      <c r="AC319" s="629"/>
      <c r="AD319" s="629"/>
      <c r="AE319" s="629"/>
    </row>
    <row r="320" spans="1:31" s="628" customFormat="1" ht="13" x14ac:dyDescent="0.3">
      <c r="A320" s="646"/>
      <c r="B320" s="689"/>
      <c r="C320" s="630"/>
      <c r="D320" s="668"/>
      <c r="E320" s="691"/>
      <c r="F320" s="629"/>
      <c r="G320" s="629"/>
      <c r="H320" s="629"/>
      <c r="I320" s="691"/>
      <c r="J320" s="629"/>
      <c r="K320" s="629"/>
      <c r="L320" s="629"/>
      <c r="M320" s="629"/>
      <c r="N320" s="629"/>
      <c r="O320" s="629"/>
      <c r="P320" s="629"/>
      <c r="Q320" s="629"/>
      <c r="R320" s="629"/>
      <c r="S320" s="629"/>
      <c r="T320" s="629"/>
      <c r="U320" s="629"/>
      <c r="V320" s="629"/>
      <c r="W320" s="629"/>
      <c r="X320" s="629"/>
      <c r="Y320" s="629"/>
      <c r="Z320" s="629"/>
      <c r="AA320" s="629"/>
      <c r="AB320" s="629"/>
      <c r="AC320" s="629"/>
      <c r="AD320" s="629"/>
      <c r="AE320" s="629"/>
    </row>
    <row r="321" spans="1:31" s="628" customFormat="1" ht="13" x14ac:dyDescent="0.3">
      <c r="A321" s="646"/>
      <c r="B321" s="689"/>
      <c r="C321" s="630"/>
      <c r="D321" s="668"/>
      <c r="E321" s="691"/>
      <c r="F321" s="629"/>
      <c r="G321" s="629"/>
      <c r="H321" s="629"/>
      <c r="I321" s="691"/>
      <c r="J321" s="629"/>
      <c r="K321" s="629"/>
      <c r="L321" s="629"/>
      <c r="M321" s="629"/>
      <c r="N321" s="629"/>
      <c r="O321" s="629"/>
      <c r="P321" s="629"/>
      <c r="Q321" s="629"/>
      <c r="R321" s="629"/>
      <c r="S321" s="629"/>
      <c r="T321" s="629"/>
      <c r="U321" s="629"/>
      <c r="V321" s="629"/>
      <c r="W321" s="629"/>
      <c r="X321" s="629"/>
      <c r="Y321" s="629"/>
      <c r="Z321" s="629"/>
      <c r="AA321" s="629"/>
      <c r="AB321" s="629"/>
      <c r="AC321" s="629"/>
      <c r="AD321" s="629"/>
      <c r="AE321" s="629"/>
    </row>
    <row r="322" spans="1:31" s="628" customFormat="1" ht="13" x14ac:dyDescent="0.3">
      <c r="A322" s="646"/>
      <c r="B322" s="689"/>
      <c r="C322" s="630"/>
      <c r="D322" s="668"/>
      <c r="E322" s="691"/>
      <c r="F322" s="629"/>
      <c r="G322" s="629"/>
      <c r="H322" s="629"/>
      <c r="I322" s="691"/>
      <c r="J322" s="629"/>
      <c r="K322" s="629"/>
      <c r="L322" s="629"/>
      <c r="M322" s="629"/>
      <c r="N322" s="629"/>
      <c r="O322" s="629"/>
      <c r="P322" s="629"/>
      <c r="Q322" s="629"/>
      <c r="R322" s="629"/>
      <c r="S322" s="629"/>
      <c r="T322" s="629"/>
      <c r="U322" s="629"/>
      <c r="V322" s="629"/>
      <c r="W322" s="629"/>
      <c r="X322" s="629"/>
      <c r="Y322" s="629"/>
      <c r="Z322" s="629"/>
      <c r="AA322" s="629"/>
      <c r="AB322" s="629"/>
      <c r="AC322" s="629"/>
      <c r="AD322" s="629"/>
      <c r="AE322" s="629"/>
    </row>
    <row r="323" spans="1:31" s="628" customFormat="1" ht="13" x14ac:dyDescent="0.3">
      <c r="A323" s="646"/>
      <c r="B323" s="689"/>
      <c r="C323" s="630"/>
      <c r="D323" s="668"/>
      <c r="E323" s="691"/>
      <c r="F323" s="629"/>
      <c r="G323" s="629"/>
      <c r="H323" s="629"/>
      <c r="I323" s="691"/>
      <c r="J323" s="629"/>
      <c r="K323" s="629"/>
      <c r="L323" s="629"/>
      <c r="M323" s="629"/>
      <c r="N323" s="629"/>
      <c r="O323" s="629"/>
      <c r="P323" s="629"/>
      <c r="Q323" s="629"/>
      <c r="R323" s="629"/>
      <c r="S323" s="629"/>
      <c r="T323" s="629"/>
      <c r="U323" s="629"/>
      <c r="V323" s="629"/>
      <c r="W323" s="629"/>
      <c r="X323" s="629"/>
      <c r="Y323" s="629"/>
      <c r="Z323" s="629"/>
      <c r="AA323" s="629"/>
      <c r="AB323" s="629"/>
      <c r="AC323" s="629"/>
      <c r="AD323" s="629"/>
      <c r="AE323" s="629"/>
    </row>
    <row r="324" spans="1:31" s="628" customFormat="1" ht="13" x14ac:dyDescent="0.3">
      <c r="A324" s="646"/>
      <c r="B324" s="689"/>
      <c r="C324" s="630"/>
      <c r="D324" s="668"/>
      <c r="E324" s="691"/>
      <c r="F324" s="629"/>
      <c r="G324" s="629"/>
      <c r="H324" s="629"/>
      <c r="I324" s="691"/>
      <c r="J324" s="629"/>
      <c r="K324" s="629"/>
      <c r="L324" s="629"/>
      <c r="M324" s="629"/>
      <c r="N324" s="629"/>
      <c r="O324" s="629"/>
      <c r="P324" s="629"/>
      <c r="Q324" s="629"/>
      <c r="R324" s="629"/>
      <c r="S324" s="629"/>
      <c r="T324" s="629"/>
      <c r="U324" s="629"/>
      <c r="V324" s="629"/>
      <c r="W324" s="629"/>
      <c r="X324" s="629"/>
      <c r="Y324" s="629"/>
      <c r="Z324" s="629"/>
      <c r="AA324" s="629"/>
      <c r="AB324" s="629"/>
      <c r="AC324" s="629"/>
      <c r="AD324" s="629"/>
      <c r="AE324" s="629"/>
    </row>
    <row r="325" spans="1:31" s="628" customFormat="1" ht="13" x14ac:dyDescent="0.3">
      <c r="A325" s="646"/>
      <c r="B325" s="689"/>
      <c r="C325" s="630"/>
      <c r="D325" s="668"/>
      <c r="E325" s="691"/>
      <c r="F325" s="629"/>
      <c r="G325" s="629"/>
      <c r="H325" s="629"/>
      <c r="I325" s="691"/>
      <c r="J325" s="629"/>
      <c r="K325" s="629"/>
      <c r="L325" s="629"/>
      <c r="M325" s="629"/>
      <c r="N325" s="629"/>
      <c r="O325" s="629"/>
      <c r="P325" s="629"/>
      <c r="Q325" s="629"/>
      <c r="R325" s="629"/>
      <c r="S325" s="629"/>
      <c r="T325" s="629"/>
      <c r="U325" s="629"/>
      <c r="V325" s="629"/>
      <c r="W325" s="629"/>
      <c r="X325" s="629"/>
      <c r="Y325" s="629"/>
      <c r="Z325" s="629"/>
      <c r="AA325" s="629"/>
      <c r="AB325" s="629"/>
      <c r="AC325" s="629"/>
      <c r="AD325" s="629"/>
      <c r="AE325" s="629"/>
    </row>
    <row r="326" spans="1:31" s="628" customFormat="1" ht="13" x14ac:dyDescent="0.3">
      <c r="A326" s="646"/>
      <c r="B326" s="689"/>
      <c r="C326" s="630"/>
      <c r="D326" s="668"/>
      <c r="E326" s="691"/>
      <c r="F326" s="629"/>
      <c r="G326" s="629"/>
      <c r="H326" s="629"/>
      <c r="I326" s="691"/>
      <c r="J326" s="629"/>
      <c r="K326" s="629"/>
      <c r="L326" s="629"/>
      <c r="M326" s="629"/>
      <c r="N326" s="629"/>
      <c r="O326" s="629"/>
      <c r="P326" s="629"/>
      <c r="Q326" s="629"/>
      <c r="R326" s="629"/>
      <c r="S326" s="629"/>
      <c r="T326" s="629"/>
      <c r="U326" s="629"/>
      <c r="V326" s="629"/>
      <c r="W326" s="629"/>
      <c r="X326" s="629"/>
      <c r="Y326" s="629"/>
      <c r="Z326" s="629"/>
      <c r="AA326" s="629"/>
      <c r="AB326" s="629"/>
      <c r="AC326" s="629"/>
      <c r="AD326" s="629"/>
      <c r="AE326" s="629"/>
    </row>
    <row r="327" spans="1:31" s="628" customFormat="1" ht="13" x14ac:dyDescent="0.3">
      <c r="A327" s="646"/>
      <c r="B327" s="689"/>
      <c r="C327" s="630"/>
      <c r="D327" s="668"/>
      <c r="E327" s="691"/>
      <c r="F327" s="629"/>
      <c r="G327" s="629"/>
      <c r="H327" s="629"/>
      <c r="I327" s="691"/>
      <c r="J327" s="629"/>
      <c r="K327" s="629"/>
      <c r="L327" s="629"/>
      <c r="M327" s="629"/>
      <c r="N327" s="629"/>
      <c r="O327" s="629"/>
      <c r="P327" s="629"/>
      <c r="Q327" s="629"/>
      <c r="R327" s="629"/>
      <c r="S327" s="629"/>
      <c r="T327" s="629"/>
      <c r="U327" s="629"/>
      <c r="V327" s="629"/>
      <c r="W327" s="629"/>
      <c r="X327" s="629"/>
      <c r="Y327" s="629"/>
      <c r="Z327" s="629"/>
      <c r="AA327" s="629"/>
      <c r="AB327" s="629"/>
      <c r="AC327" s="629"/>
      <c r="AD327" s="629"/>
      <c r="AE327" s="629"/>
    </row>
    <row r="328" spans="1:31" s="628" customFormat="1" ht="13" x14ac:dyDescent="0.3">
      <c r="A328" s="646"/>
      <c r="B328" s="689"/>
      <c r="C328" s="630"/>
      <c r="D328" s="668"/>
      <c r="E328" s="691"/>
      <c r="F328" s="629"/>
      <c r="G328" s="629"/>
      <c r="H328" s="629"/>
      <c r="I328" s="691"/>
      <c r="J328" s="629"/>
      <c r="K328" s="629"/>
      <c r="L328" s="629"/>
      <c r="M328" s="629"/>
      <c r="N328" s="629"/>
      <c r="O328" s="629"/>
      <c r="P328" s="629"/>
      <c r="Q328" s="629"/>
      <c r="R328" s="629"/>
      <c r="S328" s="629"/>
      <c r="T328" s="629"/>
      <c r="U328" s="629"/>
      <c r="V328" s="629"/>
      <c r="W328" s="629"/>
      <c r="X328" s="629"/>
      <c r="Y328" s="629"/>
      <c r="Z328" s="629"/>
      <c r="AA328" s="629"/>
      <c r="AB328" s="629"/>
      <c r="AC328" s="629"/>
      <c r="AD328" s="629"/>
      <c r="AE328" s="629"/>
    </row>
    <row r="329" spans="1:31" s="628" customFormat="1" ht="13" x14ac:dyDescent="0.3">
      <c r="A329" s="646"/>
      <c r="B329" s="689"/>
      <c r="C329" s="630"/>
      <c r="D329" s="668"/>
      <c r="E329" s="691"/>
      <c r="F329" s="629"/>
      <c r="G329" s="629"/>
      <c r="H329" s="629"/>
      <c r="I329" s="691"/>
      <c r="J329" s="629"/>
      <c r="K329" s="629"/>
      <c r="L329" s="629"/>
      <c r="M329" s="629"/>
      <c r="N329" s="629"/>
      <c r="O329" s="629"/>
      <c r="P329" s="629"/>
      <c r="Q329" s="629"/>
      <c r="R329" s="629"/>
      <c r="S329" s="629"/>
      <c r="T329" s="629"/>
      <c r="U329" s="629"/>
      <c r="V329" s="629"/>
      <c r="W329" s="629"/>
      <c r="X329" s="629"/>
      <c r="Y329" s="629"/>
      <c r="Z329" s="629"/>
      <c r="AA329" s="629"/>
      <c r="AB329" s="629"/>
      <c r="AC329" s="629"/>
      <c r="AD329" s="629"/>
      <c r="AE329" s="629"/>
    </row>
    <row r="330" spans="1:31" s="628" customFormat="1" ht="13" x14ac:dyDescent="0.3">
      <c r="A330" s="646"/>
      <c r="B330" s="689"/>
      <c r="C330" s="630"/>
      <c r="D330" s="668"/>
      <c r="E330" s="691"/>
      <c r="F330" s="629"/>
      <c r="G330" s="629"/>
      <c r="H330" s="629"/>
      <c r="I330" s="691"/>
      <c r="J330" s="629"/>
      <c r="K330" s="629"/>
      <c r="L330" s="629"/>
      <c r="M330" s="629"/>
      <c r="N330" s="629"/>
      <c r="O330" s="629"/>
      <c r="P330" s="629"/>
      <c r="Q330" s="629"/>
      <c r="R330" s="629"/>
      <c r="S330" s="629"/>
      <c r="T330" s="629"/>
      <c r="U330" s="629"/>
      <c r="V330" s="629"/>
      <c r="W330" s="629"/>
      <c r="X330" s="629"/>
      <c r="Y330" s="629"/>
      <c r="Z330" s="629"/>
      <c r="AA330" s="629"/>
      <c r="AB330" s="629"/>
      <c r="AC330" s="629"/>
      <c r="AD330" s="629"/>
      <c r="AE330" s="629"/>
    </row>
    <row r="331" spans="1:31" s="628" customFormat="1" ht="13" x14ac:dyDescent="0.3">
      <c r="A331" s="646"/>
      <c r="B331" s="689"/>
      <c r="C331" s="630"/>
      <c r="D331" s="668"/>
      <c r="E331" s="691"/>
      <c r="F331" s="629"/>
      <c r="G331" s="629"/>
      <c r="H331" s="629"/>
      <c r="I331" s="691"/>
      <c r="J331" s="629"/>
      <c r="K331" s="629"/>
      <c r="L331" s="629"/>
      <c r="M331" s="629"/>
      <c r="N331" s="629"/>
      <c r="O331" s="629"/>
      <c r="P331" s="629"/>
      <c r="Q331" s="629"/>
      <c r="R331" s="629"/>
      <c r="S331" s="629"/>
      <c r="T331" s="629"/>
      <c r="U331" s="629"/>
      <c r="V331" s="629"/>
      <c r="W331" s="629"/>
      <c r="X331" s="629"/>
      <c r="Y331" s="629"/>
      <c r="Z331" s="629"/>
      <c r="AA331" s="629"/>
      <c r="AB331" s="629"/>
      <c r="AC331" s="629"/>
      <c r="AD331" s="629"/>
      <c r="AE331" s="629"/>
    </row>
    <row r="332" spans="1:31" s="628" customFormat="1" ht="13" x14ac:dyDescent="0.3">
      <c r="A332" s="646"/>
      <c r="B332" s="689"/>
      <c r="C332" s="630"/>
      <c r="D332" s="668"/>
      <c r="E332" s="691"/>
      <c r="F332" s="629"/>
      <c r="G332" s="629"/>
      <c r="H332" s="629"/>
      <c r="I332" s="691"/>
      <c r="J332" s="629"/>
      <c r="K332" s="629"/>
      <c r="L332" s="629"/>
      <c r="M332" s="629"/>
      <c r="N332" s="629"/>
      <c r="O332" s="629"/>
      <c r="P332" s="629"/>
      <c r="Q332" s="629"/>
      <c r="R332" s="629"/>
      <c r="S332" s="629"/>
      <c r="T332" s="629"/>
      <c r="U332" s="629"/>
      <c r="V332" s="629"/>
      <c r="W332" s="629"/>
      <c r="X332" s="629"/>
      <c r="Y332" s="629"/>
      <c r="Z332" s="629"/>
      <c r="AA332" s="629"/>
      <c r="AB332" s="629"/>
      <c r="AC332" s="629"/>
      <c r="AD332" s="629"/>
      <c r="AE332" s="629"/>
    </row>
    <row r="333" spans="1:31" s="628" customFormat="1" ht="13" x14ac:dyDescent="0.3">
      <c r="A333" s="646"/>
      <c r="B333" s="689"/>
      <c r="C333" s="630"/>
      <c r="D333" s="668"/>
      <c r="E333" s="691"/>
      <c r="F333" s="629"/>
      <c r="G333" s="629"/>
      <c r="H333" s="629"/>
      <c r="I333" s="691"/>
      <c r="J333" s="629"/>
      <c r="K333" s="629"/>
      <c r="L333" s="629"/>
      <c r="M333" s="629"/>
      <c r="N333" s="629"/>
      <c r="O333" s="629"/>
      <c r="P333" s="629"/>
      <c r="Q333" s="629"/>
      <c r="R333" s="629"/>
      <c r="S333" s="629"/>
      <c r="T333" s="629"/>
      <c r="U333" s="629"/>
      <c r="V333" s="629"/>
      <c r="W333" s="629"/>
      <c r="X333" s="629"/>
      <c r="Y333" s="629"/>
      <c r="Z333" s="629"/>
      <c r="AA333" s="629"/>
      <c r="AB333" s="629"/>
      <c r="AC333" s="629"/>
      <c r="AD333" s="629"/>
      <c r="AE333" s="629"/>
    </row>
    <row r="334" spans="1:31" s="628" customFormat="1" ht="13" x14ac:dyDescent="0.3">
      <c r="A334" s="646"/>
      <c r="B334" s="689"/>
      <c r="C334" s="630"/>
      <c r="D334" s="668"/>
      <c r="E334" s="691"/>
      <c r="F334" s="629"/>
      <c r="G334" s="629"/>
      <c r="H334" s="629"/>
      <c r="I334" s="691"/>
      <c r="J334" s="629"/>
      <c r="K334" s="629"/>
      <c r="L334" s="629"/>
      <c r="M334" s="629"/>
      <c r="N334" s="629"/>
      <c r="O334" s="629"/>
      <c r="P334" s="629"/>
      <c r="Q334" s="629"/>
      <c r="R334" s="629"/>
      <c r="S334" s="629"/>
      <c r="T334" s="629"/>
      <c r="U334" s="629"/>
      <c r="V334" s="629"/>
      <c r="W334" s="629"/>
      <c r="X334" s="629"/>
      <c r="Y334" s="629"/>
      <c r="Z334" s="629"/>
      <c r="AA334" s="629"/>
      <c r="AB334" s="629"/>
      <c r="AC334" s="629"/>
      <c r="AD334" s="629"/>
      <c r="AE334" s="629"/>
    </row>
    <row r="335" spans="1:31" s="628" customFormat="1" ht="13" x14ac:dyDescent="0.3">
      <c r="A335" s="646"/>
      <c r="B335" s="689"/>
      <c r="C335" s="630"/>
      <c r="D335" s="668"/>
      <c r="E335" s="691"/>
      <c r="F335" s="629"/>
      <c r="G335" s="629"/>
      <c r="H335" s="629"/>
      <c r="I335" s="691"/>
      <c r="J335" s="629"/>
      <c r="K335" s="629"/>
      <c r="L335" s="629"/>
      <c r="M335" s="629"/>
      <c r="N335" s="629"/>
      <c r="O335" s="629"/>
      <c r="P335" s="629"/>
      <c r="Q335" s="629"/>
      <c r="R335" s="629"/>
      <c r="S335" s="629"/>
      <c r="T335" s="629"/>
      <c r="U335" s="629"/>
      <c r="V335" s="629"/>
      <c r="W335" s="629"/>
      <c r="X335" s="629"/>
      <c r="Y335" s="629"/>
      <c r="Z335" s="629"/>
      <c r="AA335" s="629"/>
      <c r="AB335" s="629"/>
      <c r="AC335" s="629"/>
      <c r="AD335" s="629"/>
      <c r="AE335" s="629"/>
    </row>
    <row r="336" spans="1:31" s="628" customFormat="1" ht="13" x14ac:dyDescent="0.3">
      <c r="A336" s="646"/>
      <c r="B336" s="689"/>
      <c r="C336" s="630"/>
      <c r="D336" s="668"/>
      <c r="E336" s="691"/>
      <c r="F336" s="629"/>
      <c r="G336" s="629"/>
      <c r="H336" s="629"/>
      <c r="I336" s="691"/>
      <c r="J336" s="629"/>
      <c r="K336" s="629"/>
      <c r="L336" s="629"/>
      <c r="M336" s="629"/>
      <c r="N336" s="629"/>
      <c r="O336" s="629"/>
      <c r="P336" s="629"/>
      <c r="Q336" s="629"/>
      <c r="R336" s="629"/>
      <c r="S336" s="629"/>
      <c r="T336" s="629"/>
      <c r="U336" s="629"/>
      <c r="V336" s="629"/>
      <c r="W336" s="629"/>
      <c r="X336" s="629"/>
      <c r="Y336" s="629"/>
      <c r="Z336" s="629"/>
      <c r="AA336" s="629"/>
      <c r="AB336" s="629"/>
      <c r="AC336" s="629"/>
      <c r="AD336" s="629"/>
      <c r="AE336" s="629"/>
    </row>
    <row r="337" spans="1:31" s="628" customFormat="1" ht="13" x14ac:dyDescent="0.3">
      <c r="A337" s="646"/>
      <c r="B337" s="689"/>
      <c r="C337" s="630"/>
      <c r="D337" s="668"/>
      <c r="E337" s="691"/>
      <c r="F337" s="629"/>
      <c r="G337" s="629"/>
      <c r="H337" s="629"/>
      <c r="I337" s="691"/>
      <c r="J337" s="629"/>
      <c r="K337" s="629"/>
      <c r="L337" s="629"/>
      <c r="M337" s="629"/>
      <c r="N337" s="629"/>
      <c r="O337" s="629"/>
      <c r="P337" s="629"/>
      <c r="Q337" s="629"/>
      <c r="R337" s="629"/>
      <c r="S337" s="629"/>
      <c r="T337" s="629"/>
      <c r="U337" s="629"/>
      <c r="V337" s="629"/>
      <c r="W337" s="629"/>
      <c r="X337" s="629"/>
      <c r="Y337" s="629"/>
      <c r="Z337" s="629"/>
      <c r="AA337" s="629"/>
      <c r="AB337" s="629"/>
      <c r="AC337" s="629"/>
      <c r="AD337" s="629"/>
      <c r="AE337" s="629"/>
    </row>
    <row r="338" spans="1:31" s="628" customFormat="1" ht="13" x14ac:dyDescent="0.3">
      <c r="A338" s="646"/>
      <c r="B338" s="689"/>
      <c r="C338" s="630"/>
      <c r="D338" s="668"/>
      <c r="E338" s="691"/>
      <c r="F338" s="629"/>
      <c r="G338" s="629"/>
      <c r="H338" s="629"/>
      <c r="I338" s="691"/>
      <c r="J338" s="629"/>
      <c r="K338" s="629"/>
      <c r="L338" s="629"/>
      <c r="M338" s="629"/>
      <c r="N338" s="629"/>
      <c r="O338" s="629"/>
      <c r="P338" s="629"/>
      <c r="Q338" s="629"/>
      <c r="R338" s="629"/>
      <c r="S338" s="629"/>
      <c r="T338" s="629"/>
      <c r="U338" s="629"/>
      <c r="V338" s="629"/>
      <c r="W338" s="629"/>
      <c r="X338" s="629"/>
      <c r="Y338" s="629"/>
      <c r="Z338" s="629"/>
      <c r="AA338" s="629"/>
      <c r="AB338" s="629"/>
      <c r="AC338" s="629"/>
      <c r="AD338" s="629"/>
      <c r="AE338" s="629"/>
    </row>
    <row r="339" spans="1:31" s="628" customFormat="1" ht="13" x14ac:dyDescent="0.3">
      <c r="A339" s="646"/>
      <c r="B339" s="689"/>
      <c r="C339" s="630"/>
      <c r="D339" s="668"/>
      <c r="E339" s="691"/>
      <c r="F339" s="629"/>
      <c r="G339" s="629"/>
      <c r="H339" s="629"/>
      <c r="I339" s="691"/>
      <c r="J339" s="629"/>
      <c r="K339" s="629"/>
      <c r="L339" s="629"/>
      <c r="M339" s="629"/>
      <c r="N339" s="629"/>
      <c r="O339" s="629"/>
      <c r="P339" s="629"/>
      <c r="Q339" s="629"/>
      <c r="R339" s="629"/>
      <c r="S339" s="629"/>
      <c r="T339" s="629"/>
      <c r="U339" s="629"/>
      <c r="V339" s="629"/>
      <c r="W339" s="629"/>
      <c r="X339" s="629"/>
      <c r="Y339" s="629"/>
      <c r="Z339" s="629"/>
      <c r="AA339" s="629"/>
      <c r="AB339" s="629"/>
      <c r="AC339" s="629"/>
      <c r="AD339" s="629"/>
      <c r="AE339" s="629"/>
    </row>
    <row r="340" spans="1:31" s="628" customFormat="1" ht="13" x14ac:dyDescent="0.3">
      <c r="A340" s="646"/>
      <c r="B340" s="689"/>
      <c r="C340" s="630"/>
      <c r="D340" s="668"/>
      <c r="E340" s="691"/>
      <c r="F340" s="629"/>
      <c r="G340" s="629"/>
      <c r="H340" s="629"/>
      <c r="I340" s="691"/>
      <c r="J340" s="629"/>
      <c r="K340" s="629"/>
      <c r="L340" s="629"/>
      <c r="M340" s="629"/>
      <c r="N340" s="629"/>
      <c r="O340" s="629"/>
      <c r="P340" s="629"/>
      <c r="Q340" s="629"/>
      <c r="R340" s="629"/>
      <c r="S340" s="629"/>
      <c r="T340" s="629"/>
      <c r="U340" s="629"/>
      <c r="V340" s="629"/>
      <c r="W340" s="629"/>
      <c r="X340" s="629"/>
      <c r="Y340" s="629"/>
      <c r="Z340" s="629"/>
      <c r="AA340" s="629"/>
      <c r="AB340" s="629"/>
      <c r="AC340" s="629"/>
      <c r="AD340" s="629"/>
      <c r="AE340" s="629"/>
    </row>
    <row r="341" spans="1:31" s="628" customFormat="1" ht="13" x14ac:dyDescent="0.3">
      <c r="A341" s="646"/>
      <c r="B341" s="689"/>
      <c r="C341" s="630"/>
      <c r="D341" s="668"/>
      <c r="E341" s="691"/>
      <c r="F341" s="629"/>
      <c r="G341" s="629"/>
      <c r="H341" s="629"/>
      <c r="I341" s="691"/>
      <c r="J341" s="629"/>
      <c r="K341" s="629"/>
      <c r="L341" s="629"/>
      <c r="M341" s="629"/>
      <c r="N341" s="629"/>
      <c r="O341" s="629"/>
      <c r="P341" s="629"/>
      <c r="Q341" s="629"/>
      <c r="R341" s="629"/>
      <c r="S341" s="629"/>
      <c r="T341" s="629"/>
      <c r="U341" s="629"/>
      <c r="V341" s="629"/>
      <c r="W341" s="629"/>
      <c r="X341" s="629"/>
      <c r="Y341" s="629"/>
      <c r="Z341" s="629"/>
      <c r="AA341" s="629"/>
      <c r="AB341" s="629"/>
      <c r="AC341" s="629"/>
      <c r="AD341" s="629"/>
      <c r="AE341" s="629"/>
    </row>
    <row r="342" spans="1:31" s="628" customFormat="1" ht="13" x14ac:dyDescent="0.3">
      <c r="A342" s="646"/>
      <c r="B342" s="689"/>
      <c r="C342" s="630"/>
      <c r="D342" s="668"/>
      <c r="E342" s="691"/>
      <c r="F342" s="629"/>
      <c r="G342" s="629"/>
      <c r="H342" s="629"/>
      <c r="I342" s="691"/>
      <c r="J342" s="629"/>
      <c r="K342" s="629"/>
      <c r="L342" s="629"/>
      <c r="M342" s="629"/>
      <c r="N342" s="629"/>
      <c r="O342" s="629"/>
      <c r="P342" s="629"/>
      <c r="Q342" s="629"/>
      <c r="R342" s="629"/>
      <c r="S342" s="629"/>
      <c r="T342" s="629"/>
      <c r="U342" s="629"/>
      <c r="V342" s="629"/>
      <c r="W342" s="629"/>
      <c r="X342" s="629"/>
      <c r="Y342" s="629"/>
      <c r="Z342" s="629"/>
      <c r="AA342" s="629"/>
      <c r="AB342" s="629"/>
      <c r="AC342" s="629"/>
      <c r="AD342" s="629"/>
      <c r="AE342" s="629"/>
    </row>
    <row r="343" spans="1:31" s="628" customFormat="1" ht="13" x14ac:dyDescent="0.3">
      <c r="A343" s="646"/>
      <c r="B343" s="689"/>
      <c r="C343" s="630"/>
      <c r="D343" s="668"/>
      <c r="E343" s="691"/>
      <c r="F343" s="629"/>
      <c r="G343" s="629"/>
      <c r="H343" s="629"/>
      <c r="I343" s="691"/>
      <c r="J343" s="629"/>
      <c r="K343" s="629"/>
      <c r="L343" s="629"/>
      <c r="M343" s="629"/>
      <c r="N343" s="629"/>
      <c r="O343" s="629"/>
      <c r="P343" s="629"/>
      <c r="Q343" s="629"/>
      <c r="R343" s="629"/>
      <c r="S343" s="629"/>
      <c r="T343" s="629"/>
      <c r="U343" s="629"/>
      <c r="V343" s="629"/>
      <c r="W343" s="629"/>
      <c r="X343" s="629"/>
      <c r="Y343" s="629"/>
      <c r="Z343" s="629"/>
      <c r="AA343" s="629"/>
      <c r="AB343" s="629"/>
      <c r="AC343" s="629"/>
      <c r="AD343" s="629"/>
      <c r="AE343" s="629"/>
    </row>
    <row r="344" spans="1:31" s="628" customFormat="1" ht="13" x14ac:dyDescent="0.3">
      <c r="A344" s="646"/>
      <c r="B344" s="689"/>
      <c r="C344" s="630"/>
      <c r="D344" s="668"/>
      <c r="E344" s="691"/>
      <c r="F344" s="629"/>
      <c r="G344" s="629"/>
      <c r="H344" s="629"/>
      <c r="I344" s="691"/>
      <c r="J344" s="629"/>
      <c r="K344" s="629"/>
      <c r="L344" s="629"/>
      <c r="M344" s="629"/>
      <c r="N344" s="629"/>
      <c r="O344" s="629"/>
      <c r="P344" s="629"/>
      <c r="Q344" s="629"/>
      <c r="R344" s="629"/>
      <c r="S344" s="629"/>
      <c r="T344" s="629"/>
      <c r="U344" s="629"/>
      <c r="V344" s="629"/>
      <c r="W344" s="629"/>
      <c r="X344" s="629"/>
      <c r="Y344" s="629"/>
      <c r="Z344" s="629"/>
      <c r="AA344" s="629"/>
      <c r="AB344" s="629"/>
      <c r="AC344" s="629"/>
      <c r="AD344" s="629"/>
      <c r="AE344" s="629"/>
    </row>
    <row r="345" spans="1:31" s="628" customFormat="1" ht="13" x14ac:dyDescent="0.3">
      <c r="A345" s="646"/>
      <c r="B345" s="689"/>
      <c r="C345" s="630"/>
      <c r="D345" s="668"/>
      <c r="E345" s="691"/>
      <c r="F345" s="629"/>
      <c r="G345" s="629"/>
      <c r="H345" s="629"/>
      <c r="I345" s="691"/>
      <c r="J345" s="629"/>
      <c r="K345" s="629"/>
      <c r="L345" s="629"/>
      <c r="M345" s="629"/>
      <c r="N345" s="629"/>
      <c r="O345" s="629"/>
      <c r="P345" s="629"/>
      <c r="Q345" s="629"/>
      <c r="R345" s="629"/>
      <c r="S345" s="629"/>
      <c r="T345" s="629"/>
      <c r="U345" s="629"/>
      <c r="V345" s="629"/>
      <c r="W345" s="629"/>
      <c r="X345" s="629"/>
      <c r="Y345" s="629"/>
      <c r="Z345" s="629"/>
      <c r="AA345" s="629"/>
      <c r="AB345" s="629"/>
      <c r="AC345" s="629"/>
      <c r="AD345" s="629"/>
      <c r="AE345" s="629"/>
    </row>
    <row r="346" spans="1:31" s="628" customFormat="1" ht="13" x14ac:dyDescent="0.3">
      <c r="A346" s="646"/>
      <c r="B346" s="689"/>
      <c r="C346" s="630"/>
      <c r="D346" s="668"/>
      <c r="E346" s="691"/>
      <c r="F346" s="629"/>
      <c r="G346" s="629"/>
      <c r="H346" s="629"/>
      <c r="I346" s="691"/>
      <c r="J346" s="629"/>
      <c r="K346" s="629"/>
      <c r="L346" s="629"/>
      <c r="M346" s="629"/>
      <c r="N346" s="629"/>
      <c r="O346" s="629"/>
      <c r="P346" s="629"/>
      <c r="Q346" s="629"/>
      <c r="R346" s="629"/>
      <c r="S346" s="629"/>
      <c r="T346" s="629"/>
      <c r="U346" s="629"/>
      <c r="V346" s="629"/>
      <c r="W346" s="629"/>
      <c r="X346" s="629"/>
      <c r="Y346" s="629"/>
      <c r="Z346" s="629"/>
      <c r="AA346" s="629"/>
      <c r="AB346" s="629"/>
      <c r="AC346" s="629"/>
      <c r="AD346" s="629"/>
      <c r="AE346" s="629"/>
    </row>
    <row r="347" spans="1:31" s="628" customFormat="1" ht="13" x14ac:dyDescent="0.3">
      <c r="A347" s="646"/>
      <c r="B347" s="689"/>
      <c r="C347" s="630"/>
      <c r="D347" s="668"/>
      <c r="E347" s="691"/>
      <c r="F347" s="629"/>
      <c r="G347" s="629"/>
      <c r="H347" s="629"/>
      <c r="I347" s="691"/>
      <c r="J347" s="629"/>
      <c r="K347" s="629"/>
      <c r="L347" s="629"/>
      <c r="M347" s="629"/>
      <c r="N347" s="629"/>
      <c r="O347" s="629"/>
      <c r="P347" s="629"/>
      <c r="Q347" s="629"/>
      <c r="R347" s="629"/>
      <c r="S347" s="629"/>
      <c r="T347" s="629"/>
      <c r="U347" s="629"/>
      <c r="V347" s="629"/>
      <c r="W347" s="629"/>
      <c r="X347" s="629"/>
      <c r="Y347" s="629"/>
      <c r="Z347" s="629"/>
      <c r="AA347" s="629"/>
      <c r="AB347" s="629"/>
      <c r="AC347" s="629"/>
      <c r="AD347" s="629"/>
      <c r="AE347" s="629"/>
    </row>
    <row r="348" spans="1:31" s="628" customFormat="1" ht="13" x14ac:dyDescent="0.3">
      <c r="A348" s="646"/>
      <c r="B348" s="689"/>
      <c r="C348" s="630"/>
      <c r="D348" s="668"/>
      <c r="E348" s="691"/>
      <c r="F348" s="629"/>
      <c r="G348" s="629"/>
      <c r="H348" s="629"/>
      <c r="I348" s="691"/>
      <c r="J348" s="629"/>
      <c r="K348" s="629"/>
      <c r="L348" s="629"/>
      <c r="M348" s="629"/>
      <c r="N348" s="629"/>
      <c r="O348" s="629"/>
      <c r="P348" s="629"/>
      <c r="Q348" s="629"/>
      <c r="R348" s="629"/>
      <c r="S348" s="629"/>
      <c r="T348" s="629"/>
      <c r="U348" s="629"/>
      <c r="V348" s="629"/>
      <c r="W348" s="629"/>
      <c r="X348" s="629"/>
      <c r="Y348" s="629"/>
      <c r="Z348" s="629"/>
      <c r="AA348" s="629"/>
      <c r="AB348" s="629"/>
      <c r="AC348" s="629"/>
      <c r="AD348" s="629"/>
      <c r="AE348" s="629"/>
    </row>
    <row r="349" spans="1:31" s="628" customFormat="1" ht="13" x14ac:dyDescent="0.3">
      <c r="A349" s="646"/>
      <c r="B349" s="689"/>
      <c r="C349" s="630"/>
      <c r="D349" s="668"/>
      <c r="E349" s="691"/>
      <c r="F349" s="629"/>
      <c r="G349" s="629"/>
      <c r="H349" s="629"/>
      <c r="I349" s="691"/>
      <c r="J349" s="629"/>
      <c r="K349" s="629"/>
      <c r="L349" s="629"/>
      <c r="M349" s="629"/>
      <c r="N349" s="629"/>
      <c r="O349" s="629"/>
      <c r="P349" s="629"/>
      <c r="Q349" s="629"/>
      <c r="R349" s="629"/>
      <c r="S349" s="629"/>
      <c r="T349" s="629"/>
      <c r="U349" s="629"/>
      <c r="V349" s="629"/>
      <c r="W349" s="629"/>
      <c r="X349" s="629"/>
      <c r="Y349" s="629"/>
      <c r="Z349" s="629"/>
      <c r="AA349" s="629"/>
      <c r="AB349" s="629"/>
      <c r="AC349" s="629"/>
      <c r="AD349" s="629"/>
      <c r="AE349" s="629"/>
    </row>
    <row r="350" spans="1:31" s="628" customFormat="1" ht="13" x14ac:dyDescent="0.3">
      <c r="A350" s="646"/>
      <c r="B350" s="689"/>
      <c r="C350" s="630"/>
      <c r="D350" s="668"/>
      <c r="E350" s="691"/>
      <c r="F350" s="629"/>
      <c r="G350" s="629"/>
      <c r="H350" s="629"/>
      <c r="I350" s="691"/>
      <c r="J350" s="629"/>
      <c r="K350" s="629"/>
      <c r="L350" s="629"/>
      <c r="M350" s="629"/>
      <c r="N350" s="629"/>
      <c r="O350" s="629"/>
      <c r="P350" s="629"/>
      <c r="Q350" s="629"/>
      <c r="R350" s="629"/>
      <c r="S350" s="629"/>
      <c r="T350" s="629"/>
      <c r="U350" s="629"/>
      <c r="V350" s="629"/>
      <c r="W350" s="629"/>
      <c r="X350" s="629"/>
      <c r="Y350" s="629"/>
      <c r="Z350" s="629"/>
      <c r="AA350" s="629"/>
      <c r="AB350" s="629"/>
      <c r="AC350" s="629"/>
      <c r="AD350" s="629"/>
      <c r="AE350" s="629"/>
    </row>
    <row r="351" spans="1:31" s="628" customFormat="1" ht="13" x14ac:dyDescent="0.3">
      <c r="A351" s="646"/>
      <c r="B351" s="689"/>
      <c r="C351" s="630"/>
      <c r="D351" s="668"/>
      <c r="E351" s="691"/>
      <c r="F351" s="629"/>
      <c r="G351" s="629"/>
      <c r="H351" s="629"/>
      <c r="I351" s="691"/>
      <c r="J351" s="629"/>
      <c r="K351" s="629"/>
      <c r="L351" s="629"/>
      <c r="M351" s="629"/>
      <c r="N351" s="629"/>
      <c r="O351" s="629"/>
      <c r="P351" s="629"/>
      <c r="Q351" s="629"/>
      <c r="R351" s="629"/>
      <c r="S351" s="629"/>
      <c r="T351" s="629"/>
      <c r="U351" s="629"/>
      <c r="V351" s="629"/>
      <c r="W351" s="629"/>
      <c r="X351" s="629"/>
      <c r="Y351" s="629"/>
      <c r="Z351" s="629"/>
      <c r="AA351" s="629"/>
      <c r="AB351" s="629"/>
      <c r="AC351" s="629"/>
      <c r="AD351" s="629"/>
      <c r="AE351" s="629"/>
    </row>
    <row r="352" spans="1:31" s="628" customFormat="1" ht="13" x14ac:dyDescent="0.3">
      <c r="A352" s="646"/>
      <c r="B352" s="689"/>
      <c r="C352" s="630"/>
      <c r="D352" s="668"/>
      <c r="E352" s="691"/>
      <c r="F352" s="629"/>
      <c r="G352" s="629"/>
      <c r="H352" s="629"/>
      <c r="I352" s="691"/>
      <c r="J352" s="629"/>
      <c r="K352" s="629"/>
      <c r="L352" s="629"/>
      <c r="M352" s="629"/>
      <c r="N352" s="629"/>
      <c r="O352" s="629"/>
      <c r="P352" s="629"/>
      <c r="Q352" s="629"/>
      <c r="R352" s="629"/>
      <c r="S352" s="629"/>
      <c r="T352" s="629"/>
      <c r="U352" s="629"/>
      <c r="V352" s="629"/>
      <c r="W352" s="629"/>
      <c r="X352" s="629"/>
      <c r="Y352" s="629"/>
      <c r="Z352" s="629"/>
      <c r="AA352" s="629"/>
      <c r="AB352" s="629"/>
      <c r="AC352" s="629"/>
      <c r="AD352" s="629"/>
      <c r="AE352" s="629"/>
    </row>
    <row r="353" spans="1:31" s="628" customFormat="1" ht="13" x14ac:dyDescent="0.3">
      <c r="A353" s="646"/>
      <c r="B353" s="689"/>
      <c r="C353" s="630"/>
      <c r="D353" s="668"/>
      <c r="E353" s="691"/>
      <c r="F353" s="629"/>
      <c r="G353" s="629"/>
      <c r="H353" s="629"/>
      <c r="I353" s="691"/>
      <c r="J353" s="629"/>
      <c r="K353" s="629"/>
      <c r="L353" s="629"/>
      <c r="M353" s="629"/>
      <c r="N353" s="629"/>
      <c r="O353" s="629"/>
      <c r="P353" s="629"/>
      <c r="Q353" s="629"/>
      <c r="R353" s="629"/>
      <c r="S353" s="629"/>
      <c r="T353" s="629"/>
      <c r="U353" s="629"/>
      <c r="V353" s="629"/>
      <c r="W353" s="629"/>
      <c r="X353" s="629"/>
      <c r="Y353" s="629"/>
      <c r="Z353" s="629"/>
      <c r="AA353" s="629"/>
      <c r="AB353" s="629"/>
      <c r="AC353" s="629"/>
      <c r="AD353" s="629"/>
      <c r="AE353" s="629"/>
    </row>
    <row r="354" spans="1:31" s="628" customFormat="1" ht="13" x14ac:dyDescent="0.3">
      <c r="A354" s="646"/>
      <c r="B354" s="689"/>
      <c r="C354" s="630"/>
      <c r="D354" s="668"/>
      <c r="E354" s="691"/>
      <c r="F354" s="629"/>
      <c r="G354" s="629"/>
      <c r="H354" s="629"/>
      <c r="I354" s="691"/>
      <c r="J354" s="629"/>
      <c r="K354" s="629"/>
      <c r="L354" s="629"/>
      <c r="M354" s="629"/>
      <c r="N354" s="629"/>
      <c r="O354" s="629"/>
      <c r="P354" s="629"/>
      <c r="Q354" s="629"/>
      <c r="R354" s="629"/>
      <c r="S354" s="629"/>
      <c r="T354" s="629"/>
      <c r="U354" s="629"/>
      <c r="V354" s="629"/>
      <c r="W354" s="629"/>
      <c r="X354" s="629"/>
      <c r="Y354" s="629"/>
      <c r="Z354" s="629"/>
      <c r="AA354" s="629"/>
      <c r="AB354" s="629"/>
      <c r="AC354" s="629"/>
      <c r="AD354" s="629"/>
      <c r="AE354" s="629"/>
    </row>
    <row r="355" spans="1:31" s="628" customFormat="1" ht="13" x14ac:dyDescent="0.3">
      <c r="A355" s="646"/>
      <c r="B355" s="689"/>
      <c r="C355" s="630"/>
      <c r="D355" s="668"/>
      <c r="E355" s="691"/>
      <c r="F355" s="629"/>
      <c r="G355" s="629"/>
      <c r="H355" s="629"/>
      <c r="I355" s="691"/>
      <c r="J355" s="629"/>
      <c r="K355" s="629"/>
      <c r="L355" s="629"/>
      <c r="M355" s="629"/>
      <c r="N355" s="629"/>
      <c r="O355" s="629"/>
      <c r="P355" s="629"/>
      <c r="Q355" s="629"/>
      <c r="R355" s="629"/>
      <c r="S355" s="629"/>
      <c r="T355" s="629"/>
      <c r="U355" s="629"/>
      <c r="V355" s="629"/>
      <c r="W355" s="629"/>
      <c r="X355" s="629"/>
      <c r="Y355" s="629"/>
      <c r="Z355" s="629"/>
      <c r="AA355" s="629"/>
      <c r="AB355" s="629"/>
      <c r="AC355" s="629"/>
      <c r="AD355" s="629"/>
      <c r="AE355" s="629"/>
    </row>
    <row r="356" spans="1:31" s="628" customFormat="1" ht="13" x14ac:dyDescent="0.3">
      <c r="A356" s="646"/>
      <c r="B356" s="689"/>
      <c r="C356" s="630"/>
      <c r="D356" s="668"/>
      <c r="E356" s="691"/>
      <c r="F356" s="629"/>
      <c r="G356" s="629"/>
      <c r="H356" s="629"/>
      <c r="I356" s="691"/>
      <c r="J356" s="629"/>
      <c r="K356" s="629"/>
      <c r="L356" s="629"/>
      <c r="M356" s="629"/>
      <c r="N356" s="629"/>
      <c r="O356" s="629"/>
      <c r="P356" s="629"/>
      <c r="Q356" s="629"/>
      <c r="R356" s="629"/>
      <c r="S356" s="629"/>
      <c r="T356" s="629"/>
      <c r="U356" s="629"/>
      <c r="V356" s="629"/>
      <c r="W356" s="629"/>
      <c r="X356" s="629"/>
      <c r="Y356" s="629"/>
      <c r="Z356" s="629"/>
      <c r="AA356" s="629"/>
      <c r="AB356" s="629"/>
      <c r="AC356" s="629"/>
      <c r="AD356" s="629"/>
      <c r="AE356" s="629"/>
    </row>
    <row r="357" spans="1:31" s="628" customFormat="1" ht="13" x14ac:dyDescent="0.3">
      <c r="A357" s="646"/>
      <c r="B357" s="689"/>
      <c r="C357" s="630"/>
      <c r="D357" s="668"/>
      <c r="E357" s="691"/>
      <c r="F357" s="629"/>
      <c r="G357" s="629"/>
      <c r="H357" s="629"/>
      <c r="I357" s="691"/>
      <c r="J357" s="629"/>
      <c r="K357" s="629"/>
      <c r="L357" s="629"/>
      <c r="M357" s="629"/>
      <c r="N357" s="629"/>
      <c r="O357" s="629"/>
      <c r="P357" s="629"/>
      <c r="Q357" s="629"/>
      <c r="R357" s="629"/>
      <c r="S357" s="629"/>
      <c r="T357" s="629"/>
      <c r="U357" s="629"/>
      <c r="V357" s="629"/>
      <c r="W357" s="629"/>
      <c r="X357" s="629"/>
      <c r="Y357" s="629"/>
      <c r="Z357" s="629"/>
      <c r="AA357" s="629"/>
      <c r="AB357" s="629"/>
      <c r="AC357" s="629"/>
      <c r="AD357" s="629"/>
      <c r="AE357" s="629"/>
    </row>
    <row r="358" spans="1:31" s="628" customFormat="1" ht="13" x14ac:dyDescent="0.3">
      <c r="A358" s="646"/>
      <c r="B358" s="689"/>
      <c r="C358" s="630"/>
      <c r="D358" s="668"/>
      <c r="E358" s="691"/>
      <c r="F358" s="629"/>
      <c r="G358" s="629"/>
      <c r="H358" s="629"/>
      <c r="I358" s="691"/>
      <c r="J358" s="629"/>
      <c r="K358" s="629"/>
      <c r="L358" s="629"/>
      <c r="M358" s="629"/>
      <c r="N358" s="629"/>
      <c r="O358" s="629"/>
      <c r="P358" s="629"/>
      <c r="Q358" s="629"/>
      <c r="R358" s="629"/>
      <c r="S358" s="629"/>
      <c r="T358" s="629"/>
      <c r="U358" s="629"/>
      <c r="V358" s="629"/>
      <c r="W358" s="629"/>
      <c r="X358" s="629"/>
      <c r="Y358" s="629"/>
      <c r="Z358" s="629"/>
      <c r="AA358" s="629"/>
      <c r="AB358" s="629"/>
      <c r="AC358" s="629"/>
      <c r="AD358" s="629"/>
      <c r="AE358" s="629"/>
    </row>
    <row r="359" spans="1:31" s="628" customFormat="1" ht="13" x14ac:dyDescent="0.3">
      <c r="A359" s="646"/>
      <c r="B359" s="689"/>
      <c r="C359" s="630"/>
      <c r="D359" s="668"/>
      <c r="E359" s="691"/>
      <c r="F359" s="629"/>
      <c r="G359" s="629"/>
      <c r="H359" s="629"/>
      <c r="I359" s="691"/>
      <c r="J359" s="629"/>
      <c r="K359" s="629"/>
      <c r="L359" s="629"/>
      <c r="M359" s="629"/>
      <c r="N359" s="629"/>
      <c r="O359" s="629"/>
      <c r="P359" s="629"/>
      <c r="Q359" s="629"/>
      <c r="R359" s="629"/>
      <c r="S359" s="629"/>
      <c r="T359" s="629"/>
      <c r="U359" s="629"/>
      <c r="V359" s="629"/>
      <c r="W359" s="629"/>
      <c r="X359" s="629"/>
      <c r="Y359" s="629"/>
      <c r="Z359" s="629"/>
      <c r="AA359" s="629"/>
      <c r="AB359" s="629"/>
      <c r="AC359" s="629"/>
      <c r="AD359" s="629"/>
      <c r="AE359" s="629"/>
    </row>
    <row r="360" spans="1:31" s="628" customFormat="1" ht="13" x14ac:dyDescent="0.3">
      <c r="A360" s="646"/>
      <c r="B360" s="689"/>
      <c r="C360" s="630"/>
      <c r="D360" s="668"/>
      <c r="E360" s="691"/>
      <c r="F360" s="629"/>
      <c r="G360" s="629"/>
      <c r="H360" s="629"/>
      <c r="I360" s="691"/>
      <c r="J360" s="629"/>
      <c r="K360" s="629"/>
      <c r="L360" s="629"/>
      <c r="M360" s="629"/>
      <c r="N360" s="629"/>
      <c r="O360" s="629"/>
      <c r="P360" s="629"/>
      <c r="Q360" s="629"/>
      <c r="R360" s="629"/>
      <c r="S360" s="629"/>
      <c r="T360" s="629"/>
      <c r="U360" s="629"/>
      <c r="V360" s="629"/>
      <c r="W360" s="629"/>
      <c r="X360" s="629"/>
      <c r="Y360" s="629"/>
      <c r="Z360" s="629"/>
      <c r="AA360" s="629"/>
      <c r="AB360" s="629"/>
      <c r="AC360" s="629"/>
      <c r="AD360" s="629"/>
      <c r="AE360" s="629"/>
    </row>
    <row r="361" spans="1:31" s="628" customFormat="1" ht="13" x14ac:dyDescent="0.3">
      <c r="A361" s="646"/>
      <c r="B361" s="689"/>
      <c r="C361" s="630"/>
      <c r="D361" s="668"/>
      <c r="E361" s="691"/>
      <c r="F361" s="629"/>
      <c r="G361" s="629"/>
      <c r="H361" s="629"/>
      <c r="I361" s="691"/>
      <c r="J361" s="629"/>
      <c r="K361" s="629"/>
      <c r="L361" s="629"/>
      <c r="M361" s="629"/>
      <c r="N361" s="629"/>
      <c r="O361" s="629"/>
      <c r="P361" s="629"/>
      <c r="Q361" s="629"/>
      <c r="R361" s="629"/>
      <c r="S361" s="629"/>
      <c r="T361" s="629"/>
      <c r="U361" s="629"/>
      <c r="V361" s="629"/>
      <c r="W361" s="629"/>
      <c r="X361" s="629"/>
      <c r="Y361" s="629"/>
      <c r="Z361" s="629"/>
      <c r="AA361" s="629"/>
      <c r="AB361" s="629"/>
      <c r="AC361" s="629"/>
      <c r="AD361" s="629"/>
      <c r="AE361" s="629"/>
    </row>
    <row r="362" spans="1:31" s="628" customFormat="1" ht="13" x14ac:dyDescent="0.3">
      <c r="A362" s="646"/>
      <c r="B362" s="689"/>
      <c r="C362" s="630"/>
      <c r="D362" s="668"/>
      <c r="E362" s="691"/>
      <c r="F362" s="629"/>
      <c r="G362" s="629"/>
      <c r="H362" s="629"/>
      <c r="I362" s="691"/>
      <c r="J362" s="629"/>
      <c r="K362" s="629"/>
      <c r="L362" s="629"/>
      <c r="M362" s="629"/>
      <c r="N362" s="629"/>
      <c r="O362" s="629"/>
      <c r="P362" s="629"/>
      <c r="Q362" s="629"/>
      <c r="R362" s="629"/>
      <c r="S362" s="629"/>
      <c r="T362" s="629"/>
      <c r="U362" s="629"/>
      <c r="V362" s="629"/>
      <c r="W362" s="629"/>
      <c r="X362" s="629"/>
      <c r="Y362" s="629"/>
      <c r="Z362" s="629"/>
      <c r="AA362" s="629"/>
      <c r="AB362" s="629"/>
      <c r="AC362" s="629"/>
      <c r="AD362" s="629"/>
      <c r="AE362" s="629"/>
    </row>
    <row r="363" spans="1:31" s="628" customFormat="1" ht="13" x14ac:dyDescent="0.3">
      <c r="A363" s="646"/>
      <c r="B363" s="689"/>
      <c r="C363" s="630"/>
      <c r="D363" s="668"/>
      <c r="E363" s="691"/>
      <c r="F363" s="629"/>
      <c r="G363" s="629"/>
      <c r="H363" s="629"/>
      <c r="I363" s="691"/>
      <c r="J363" s="629"/>
      <c r="K363" s="629"/>
      <c r="L363" s="629"/>
      <c r="M363" s="629"/>
      <c r="N363" s="629"/>
      <c r="O363" s="629"/>
      <c r="P363" s="629"/>
      <c r="Q363" s="629"/>
      <c r="R363" s="629"/>
      <c r="S363" s="629"/>
      <c r="T363" s="629"/>
      <c r="U363" s="629"/>
      <c r="V363" s="629"/>
      <c r="W363" s="629"/>
      <c r="X363" s="629"/>
      <c r="Y363" s="629"/>
      <c r="Z363" s="629"/>
      <c r="AA363" s="629"/>
      <c r="AB363" s="629"/>
      <c r="AC363" s="629"/>
      <c r="AD363" s="629"/>
      <c r="AE363" s="629"/>
    </row>
    <row r="364" spans="1:31" s="628" customFormat="1" ht="13" x14ac:dyDescent="0.3">
      <c r="A364" s="646"/>
      <c r="B364" s="689"/>
      <c r="C364" s="630"/>
      <c r="D364" s="668"/>
      <c r="E364" s="691"/>
      <c r="F364" s="629"/>
      <c r="G364" s="629"/>
      <c r="H364" s="629"/>
      <c r="I364" s="691"/>
      <c r="J364" s="629"/>
      <c r="K364" s="629"/>
      <c r="L364" s="629"/>
      <c r="M364" s="629"/>
      <c r="N364" s="629"/>
      <c r="O364" s="629"/>
      <c r="P364" s="629"/>
      <c r="Q364" s="629"/>
      <c r="R364" s="629"/>
      <c r="S364" s="629"/>
      <c r="T364" s="629"/>
      <c r="U364" s="629"/>
      <c r="V364" s="629"/>
      <c r="W364" s="629"/>
      <c r="X364" s="629"/>
      <c r="Y364" s="629"/>
      <c r="Z364" s="629"/>
      <c r="AA364" s="629"/>
      <c r="AB364" s="629"/>
      <c r="AC364" s="629"/>
      <c r="AD364" s="629"/>
      <c r="AE364" s="629"/>
    </row>
    <row r="365" spans="1:31" s="628" customFormat="1" ht="13" x14ac:dyDescent="0.3">
      <c r="A365" s="646"/>
      <c r="B365" s="689"/>
      <c r="C365" s="630"/>
      <c r="D365" s="668"/>
      <c r="E365" s="691"/>
      <c r="F365" s="629"/>
      <c r="G365" s="629"/>
      <c r="H365" s="629"/>
      <c r="I365" s="691"/>
      <c r="J365" s="629"/>
      <c r="K365" s="629"/>
      <c r="L365" s="629"/>
      <c r="M365" s="629"/>
      <c r="N365" s="629"/>
      <c r="O365" s="629"/>
      <c r="P365" s="629"/>
      <c r="Q365" s="629"/>
      <c r="R365" s="629"/>
      <c r="S365" s="629"/>
      <c r="T365" s="629"/>
      <c r="U365" s="629"/>
      <c r="V365" s="629"/>
      <c r="W365" s="629"/>
      <c r="X365" s="629"/>
      <c r="Y365" s="629"/>
      <c r="Z365" s="629"/>
      <c r="AA365" s="629"/>
      <c r="AB365" s="629"/>
      <c r="AC365" s="629"/>
      <c r="AD365" s="629"/>
      <c r="AE365" s="629"/>
    </row>
    <row r="366" spans="1:31" s="628" customFormat="1" ht="13" x14ac:dyDescent="0.3">
      <c r="A366" s="646"/>
      <c r="B366" s="689"/>
      <c r="C366" s="630"/>
      <c r="D366" s="668"/>
      <c r="E366" s="691"/>
      <c r="F366" s="629"/>
      <c r="G366" s="629"/>
      <c r="H366" s="629"/>
      <c r="I366" s="691"/>
      <c r="J366" s="629"/>
      <c r="K366" s="629"/>
      <c r="L366" s="629"/>
      <c r="M366" s="629"/>
      <c r="N366" s="629"/>
      <c r="O366" s="629"/>
      <c r="P366" s="629"/>
      <c r="Q366" s="629"/>
      <c r="R366" s="629"/>
      <c r="S366" s="629"/>
      <c r="T366" s="629"/>
      <c r="U366" s="629"/>
      <c r="V366" s="629"/>
      <c r="W366" s="629"/>
      <c r="X366" s="629"/>
      <c r="Y366" s="629"/>
      <c r="Z366" s="629"/>
      <c r="AA366" s="629"/>
      <c r="AB366" s="629"/>
      <c r="AC366" s="629"/>
      <c r="AD366" s="629"/>
      <c r="AE366" s="629"/>
    </row>
    <row r="367" spans="1:31" s="628" customFormat="1" ht="13" x14ac:dyDescent="0.3">
      <c r="A367" s="646"/>
      <c r="B367" s="689"/>
      <c r="C367" s="630"/>
      <c r="D367" s="668"/>
      <c r="E367" s="691"/>
      <c r="F367" s="629"/>
      <c r="G367" s="629"/>
      <c r="H367" s="629"/>
      <c r="I367" s="691"/>
      <c r="J367" s="629"/>
      <c r="K367" s="629"/>
      <c r="L367" s="629"/>
      <c r="M367" s="629"/>
      <c r="N367" s="629"/>
      <c r="O367" s="629"/>
      <c r="P367" s="629"/>
      <c r="Q367" s="629"/>
      <c r="R367" s="629"/>
      <c r="S367" s="629"/>
      <c r="T367" s="629"/>
      <c r="U367" s="629"/>
      <c r="V367" s="629"/>
      <c r="W367" s="629"/>
      <c r="X367" s="629"/>
      <c r="Y367" s="629"/>
      <c r="Z367" s="629"/>
      <c r="AA367" s="629"/>
      <c r="AB367" s="629"/>
      <c r="AC367" s="629"/>
      <c r="AD367" s="629"/>
      <c r="AE367" s="629"/>
    </row>
    <row r="368" spans="1:31" s="628" customFormat="1" ht="13" x14ac:dyDescent="0.3">
      <c r="A368" s="646"/>
      <c r="B368" s="689"/>
      <c r="C368" s="630"/>
      <c r="D368" s="668"/>
      <c r="E368" s="691"/>
      <c r="F368" s="629"/>
      <c r="G368" s="629"/>
      <c r="H368" s="629"/>
      <c r="I368" s="691"/>
      <c r="J368" s="629"/>
      <c r="K368" s="629"/>
      <c r="L368" s="629"/>
      <c r="M368" s="629"/>
      <c r="N368" s="629"/>
      <c r="O368" s="629"/>
      <c r="P368" s="629"/>
      <c r="Q368" s="629"/>
      <c r="R368" s="629"/>
      <c r="S368" s="629"/>
      <c r="T368" s="629"/>
      <c r="U368" s="629"/>
      <c r="V368" s="629"/>
      <c r="W368" s="629"/>
      <c r="X368" s="629"/>
      <c r="Y368" s="629"/>
      <c r="Z368" s="629"/>
      <c r="AA368" s="629"/>
      <c r="AB368" s="629"/>
      <c r="AC368" s="629"/>
      <c r="AD368" s="629"/>
      <c r="AE368" s="629"/>
    </row>
    <row r="369" spans="1:31" s="628" customFormat="1" ht="13" x14ac:dyDescent="0.3">
      <c r="A369" s="646"/>
      <c r="B369" s="689"/>
      <c r="C369" s="630"/>
      <c r="D369" s="668"/>
      <c r="E369" s="691"/>
      <c r="F369" s="629"/>
      <c r="G369" s="629"/>
      <c r="H369" s="629"/>
      <c r="I369" s="691"/>
      <c r="J369" s="629"/>
      <c r="K369" s="629"/>
      <c r="L369" s="629"/>
      <c r="M369" s="629"/>
      <c r="N369" s="629"/>
      <c r="O369" s="629"/>
      <c r="P369" s="629"/>
      <c r="Q369" s="629"/>
      <c r="R369" s="629"/>
      <c r="S369" s="629"/>
      <c r="T369" s="629"/>
      <c r="U369" s="629"/>
      <c r="V369" s="629"/>
      <c r="W369" s="629"/>
      <c r="X369" s="629"/>
      <c r="Y369" s="629"/>
      <c r="Z369" s="629"/>
      <c r="AA369" s="629"/>
      <c r="AB369" s="629"/>
      <c r="AC369" s="629"/>
      <c r="AD369" s="629"/>
      <c r="AE369" s="629"/>
    </row>
    <row r="370" spans="1:31" s="628" customFormat="1" ht="13" x14ac:dyDescent="0.3">
      <c r="A370" s="646"/>
      <c r="B370" s="689"/>
      <c r="C370" s="630"/>
      <c r="D370" s="668"/>
      <c r="E370" s="691"/>
      <c r="F370" s="629"/>
      <c r="G370" s="629"/>
      <c r="H370" s="629"/>
      <c r="I370" s="691"/>
      <c r="J370" s="629"/>
      <c r="K370" s="629"/>
      <c r="L370" s="629"/>
      <c r="M370" s="629"/>
      <c r="N370" s="629"/>
      <c r="O370" s="629"/>
      <c r="P370" s="629"/>
      <c r="Q370" s="629"/>
      <c r="R370" s="629"/>
      <c r="S370" s="629"/>
      <c r="T370" s="629"/>
      <c r="U370" s="629"/>
      <c r="V370" s="629"/>
      <c r="W370" s="629"/>
      <c r="X370" s="629"/>
      <c r="Y370" s="629"/>
      <c r="Z370" s="629"/>
      <c r="AA370" s="629"/>
      <c r="AB370" s="629"/>
      <c r="AC370" s="629"/>
      <c r="AD370" s="629"/>
      <c r="AE370" s="629"/>
    </row>
    <row r="371" spans="1:31" s="628" customFormat="1" ht="13" x14ac:dyDescent="0.3">
      <c r="A371" s="646"/>
      <c r="B371" s="689"/>
      <c r="C371" s="630"/>
      <c r="D371" s="668"/>
      <c r="E371" s="691"/>
      <c r="F371" s="629"/>
      <c r="G371" s="629"/>
      <c r="H371" s="629"/>
      <c r="I371" s="691"/>
      <c r="J371" s="629"/>
      <c r="K371" s="629"/>
      <c r="L371" s="629"/>
      <c r="M371" s="629"/>
      <c r="N371" s="629"/>
      <c r="O371" s="629"/>
      <c r="P371" s="629"/>
      <c r="Q371" s="629"/>
      <c r="R371" s="629"/>
      <c r="S371" s="629"/>
      <c r="T371" s="629"/>
      <c r="U371" s="629"/>
      <c r="V371" s="629"/>
      <c r="W371" s="629"/>
      <c r="X371" s="629"/>
      <c r="Y371" s="629"/>
      <c r="Z371" s="629"/>
      <c r="AA371" s="629"/>
      <c r="AB371" s="629"/>
      <c r="AC371" s="629"/>
      <c r="AD371" s="629"/>
      <c r="AE371" s="629"/>
    </row>
    <row r="372" spans="1:31" s="628" customFormat="1" ht="13" x14ac:dyDescent="0.3">
      <c r="A372" s="646"/>
      <c r="B372" s="689"/>
      <c r="C372" s="630"/>
      <c r="D372" s="668"/>
      <c r="E372" s="691"/>
      <c r="F372" s="629"/>
      <c r="G372" s="629"/>
      <c r="H372" s="629"/>
      <c r="I372" s="691"/>
      <c r="J372" s="629"/>
      <c r="K372" s="629"/>
      <c r="L372" s="629"/>
      <c r="M372" s="629"/>
      <c r="N372" s="629"/>
      <c r="O372" s="629"/>
      <c r="P372" s="629"/>
      <c r="Q372" s="629"/>
      <c r="R372" s="629"/>
      <c r="S372" s="629"/>
      <c r="T372" s="629"/>
      <c r="U372" s="629"/>
      <c r="V372" s="629"/>
      <c r="W372" s="629"/>
      <c r="X372" s="629"/>
      <c r="Y372" s="629"/>
      <c r="Z372" s="629"/>
      <c r="AA372" s="629"/>
      <c r="AB372" s="629"/>
      <c r="AC372" s="629"/>
      <c r="AD372" s="629"/>
      <c r="AE372" s="629"/>
    </row>
    <row r="373" spans="1:31" s="628" customFormat="1" ht="13" x14ac:dyDescent="0.3">
      <c r="A373" s="646"/>
      <c r="B373" s="689"/>
      <c r="C373" s="630"/>
      <c r="D373" s="668"/>
      <c r="E373" s="691"/>
      <c r="F373" s="629"/>
      <c r="G373" s="629"/>
      <c r="H373" s="629"/>
      <c r="I373" s="691"/>
      <c r="J373" s="629"/>
      <c r="K373" s="629"/>
      <c r="L373" s="629"/>
      <c r="M373" s="629"/>
      <c r="N373" s="629"/>
      <c r="O373" s="629"/>
      <c r="P373" s="629"/>
      <c r="Q373" s="629"/>
      <c r="R373" s="629"/>
      <c r="S373" s="629"/>
      <c r="T373" s="629"/>
      <c r="U373" s="629"/>
      <c r="V373" s="629"/>
      <c r="W373" s="629"/>
      <c r="X373" s="629"/>
      <c r="Y373" s="629"/>
      <c r="Z373" s="629"/>
      <c r="AA373" s="629"/>
      <c r="AB373" s="629"/>
      <c r="AC373" s="629"/>
      <c r="AD373" s="629"/>
      <c r="AE373" s="629"/>
    </row>
    <row r="374" spans="1:31" s="628" customFormat="1" ht="13" x14ac:dyDescent="0.3">
      <c r="A374" s="646"/>
      <c r="B374" s="689"/>
      <c r="C374" s="630"/>
      <c r="D374" s="668"/>
      <c r="E374" s="691"/>
      <c r="F374" s="629"/>
      <c r="G374" s="629"/>
      <c r="H374" s="629"/>
      <c r="I374" s="691"/>
      <c r="J374" s="629"/>
      <c r="K374" s="629"/>
      <c r="L374" s="629"/>
      <c r="M374" s="629"/>
      <c r="N374" s="629"/>
      <c r="O374" s="629"/>
      <c r="P374" s="629"/>
      <c r="Q374" s="629"/>
      <c r="R374" s="629"/>
      <c r="S374" s="629"/>
      <c r="T374" s="629"/>
      <c r="U374" s="629"/>
      <c r="V374" s="629"/>
      <c r="W374" s="629"/>
      <c r="X374" s="629"/>
      <c r="Y374" s="629"/>
      <c r="Z374" s="629"/>
      <c r="AA374" s="629"/>
      <c r="AB374" s="629"/>
      <c r="AC374" s="629"/>
      <c r="AD374" s="629"/>
      <c r="AE374" s="629"/>
    </row>
    <row r="375" spans="1:31" s="628" customFormat="1" ht="13" x14ac:dyDescent="0.3">
      <c r="A375" s="646"/>
      <c r="B375" s="689"/>
      <c r="C375" s="630"/>
      <c r="D375" s="668"/>
      <c r="E375" s="691"/>
      <c r="F375" s="629"/>
      <c r="G375" s="629"/>
      <c r="H375" s="629"/>
      <c r="I375" s="691"/>
      <c r="J375" s="629"/>
      <c r="K375" s="629"/>
      <c r="L375" s="629"/>
      <c r="M375" s="629"/>
      <c r="N375" s="629"/>
      <c r="O375" s="629"/>
      <c r="P375" s="629"/>
      <c r="Q375" s="629"/>
      <c r="R375" s="629"/>
      <c r="S375" s="629"/>
      <c r="T375" s="629"/>
      <c r="U375" s="629"/>
      <c r="V375" s="629"/>
      <c r="W375" s="629"/>
      <c r="X375" s="629"/>
      <c r="Y375" s="629"/>
      <c r="Z375" s="629"/>
      <c r="AA375" s="629"/>
      <c r="AB375" s="629"/>
      <c r="AC375" s="629"/>
      <c r="AD375" s="629"/>
      <c r="AE375" s="629"/>
    </row>
    <row r="376" spans="1:31" s="628" customFormat="1" ht="13" x14ac:dyDescent="0.3">
      <c r="A376" s="646"/>
      <c r="B376" s="689"/>
      <c r="C376" s="630"/>
      <c r="D376" s="668"/>
      <c r="E376" s="691"/>
      <c r="F376" s="629"/>
      <c r="G376" s="629"/>
      <c r="H376" s="629"/>
      <c r="I376" s="691"/>
      <c r="J376" s="629"/>
      <c r="K376" s="629"/>
      <c r="L376" s="629"/>
      <c r="M376" s="629"/>
      <c r="N376" s="629"/>
      <c r="O376" s="629"/>
      <c r="P376" s="629"/>
      <c r="Q376" s="629"/>
      <c r="R376" s="629"/>
      <c r="S376" s="629"/>
      <c r="T376" s="629"/>
      <c r="U376" s="629"/>
      <c r="V376" s="629"/>
      <c r="W376" s="629"/>
      <c r="X376" s="629"/>
      <c r="Y376" s="629"/>
      <c r="Z376" s="629"/>
      <c r="AA376" s="629"/>
      <c r="AB376" s="629"/>
      <c r="AC376" s="629"/>
      <c r="AD376" s="629"/>
      <c r="AE376" s="629"/>
    </row>
    <row r="377" spans="1:31" s="628" customFormat="1" ht="13" x14ac:dyDescent="0.3">
      <c r="A377" s="646"/>
      <c r="B377" s="689"/>
      <c r="C377" s="630"/>
      <c r="D377" s="668"/>
      <c r="E377" s="691"/>
      <c r="F377" s="629"/>
      <c r="G377" s="629"/>
      <c r="H377" s="629"/>
      <c r="I377" s="691"/>
      <c r="J377" s="629"/>
      <c r="K377" s="629"/>
      <c r="L377" s="629"/>
      <c r="M377" s="629"/>
      <c r="N377" s="629"/>
      <c r="O377" s="629"/>
      <c r="P377" s="629"/>
      <c r="Q377" s="629"/>
      <c r="R377" s="629"/>
      <c r="S377" s="629"/>
      <c r="T377" s="629"/>
      <c r="U377" s="629"/>
      <c r="V377" s="629"/>
      <c r="W377" s="629"/>
      <c r="X377" s="629"/>
      <c r="Y377" s="629"/>
      <c r="Z377" s="629"/>
      <c r="AA377" s="629"/>
      <c r="AB377" s="629"/>
      <c r="AC377" s="629"/>
      <c r="AD377" s="629"/>
      <c r="AE377" s="629"/>
    </row>
    <row r="378" spans="1:31" s="628" customFormat="1" ht="13" x14ac:dyDescent="0.3">
      <c r="A378" s="646"/>
      <c r="B378" s="689"/>
      <c r="C378" s="630"/>
      <c r="D378" s="668"/>
      <c r="E378" s="691"/>
      <c r="F378" s="629"/>
      <c r="G378" s="629"/>
      <c r="H378" s="629"/>
      <c r="I378" s="691"/>
      <c r="J378" s="629"/>
      <c r="K378" s="629"/>
      <c r="L378" s="629"/>
      <c r="M378" s="629"/>
      <c r="N378" s="629"/>
      <c r="O378" s="629"/>
      <c r="P378" s="629"/>
      <c r="Q378" s="629"/>
      <c r="R378" s="629"/>
      <c r="S378" s="629"/>
      <c r="T378" s="629"/>
      <c r="U378" s="629"/>
      <c r="V378" s="629"/>
      <c r="W378" s="629"/>
      <c r="X378" s="629"/>
      <c r="Y378" s="629"/>
      <c r="Z378" s="629"/>
      <c r="AA378" s="629"/>
      <c r="AB378" s="629"/>
      <c r="AC378" s="629"/>
      <c r="AD378" s="629"/>
      <c r="AE378" s="629"/>
    </row>
    <row r="379" spans="1:31" s="628" customFormat="1" ht="13" x14ac:dyDescent="0.3">
      <c r="A379" s="646"/>
      <c r="B379" s="689"/>
      <c r="C379" s="630"/>
      <c r="D379" s="668"/>
      <c r="E379" s="691"/>
      <c r="F379" s="629"/>
      <c r="G379" s="629"/>
      <c r="H379" s="629"/>
      <c r="I379" s="691"/>
      <c r="J379" s="629"/>
      <c r="K379" s="629"/>
      <c r="L379" s="629"/>
      <c r="M379" s="629"/>
      <c r="N379" s="629"/>
      <c r="O379" s="629"/>
      <c r="P379" s="629"/>
      <c r="Q379" s="629"/>
      <c r="R379" s="629"/>
      <c r="S379" s="629"/>
      <c r="T379" s="629"/>
      <c r="U379" s="629"/>
      <c r="V379" s="629"/>
      <c r="W379" s="629"/>
      <c r="X379" s="629"/>
      <c r="Y379" s="629"/>
      <c r="Z379" s="629"/>
      <c r="AA379" s="629"/>
      <c r="AB379" s="629"/>
      <c r="AC379" s="629"/>
      <c r="AD379" s="629"/>
      <c r="AE379" s="629"/>
    </row>
    <row r="380" spans="1:31" s="628" customFormat="1" ht="13" x14ac:dyDescent="0.3">
      <c r="A380" s="646"/>
      <c r="B380" s="689"/>
      <c r="C380" s="630"/>
      <c r="D380" s="668"/>
      <c r="E380" s="691"/>
      <c r="F380" s="629"/>
      <c r="G380" s="629"/>
      <c r="H380" s="629"/>
      <c r="I380" s="691"/>
      <c r="J380" s="629"/>
      <c r="K380" s="629"/>
      <c r="L380" s="629"/>
      <c r="M380" s="629"/>
      <c r="N380" s="629"/>
      <c r="O380" s="629"/>
      <c r="P380" s="629"/>
      <c r="Q380" s="629"/>
      <c r="R380" s="629"/>
      <c r="S380" s="629"/>
      <c r="T380" s="629"/>
      <c r="U380" s="629"/>
      <c r="V380" s="629"/>
      <c r="W380" s="629"/>
      <c r="X380" s="629"/>
      <c r="Y380" s="629"/>
      <c r="Z380" s="629"/>
      <c r="AA380" s="629"/>
      <c r="AB380" s="629"/>
      <c r="AC380" s="629"/>
      <c r="AD380" s="629"/>
      <c r="AE380" s="629"/>
    </row>
    <row r="381" spans="1:31" s="628" customFormat="1" ht="13" x14ac:dyDescent="0.3">
      <c r="A381" s="646"/>
      <c r="B381" s="689"/>
      <c r="C381" s="630"/>
      <c r="D381" s="668"/>
      <c r="E381" s="691"/>
      <c r="F381" s="629"/>
      <c r="G381" s="629"/>
      <c r="H381" s="629"/>
      <c r="I381" s="691"/>
      <c r="J381" s="629"/>
      <c r="K381" s="629"/>
      <c r="L381" s="629"/>
      <c r="M381" s="629"/>
      <c r="N381" s="629"/>
      <c r="O381" s="629"/>
      <c r="P381" s="629"/>
      <c r="Q381" s="629"/>
      <c r="R381" s="629"/>
      <c r="S381" s="629"/>
      <c r="T381" s="629"/>
      <c r="U381" s="629"/>
      <c r="V381" s="629"/>
      <c r="W381" s="629"/>
      <c r="X381" s="629"/>
      <c r="Y381" s="629"/>
      <c r="Z381" s="629"/>
      <c r="AA381" s="629"/>
      <c r="AB381" s="629"/>
      <c r="AC381" s="629"/>
      <c r="AD381" s="629"/>
      <c r="AE381" s="629"/>
    </row>
    <row r="382" spans="1:31" s="628" customFormat="1" ht="13" x14ac:dyDescent="0.3">
      <c r="A382" s="646"/>
      <c r="B382" s="689"/>
      <c r="C382" s="630"/>
      <c r="D382" s="668"/>
      <c r="E382" s="691"/>
      <c r="F382" s="629"/>
      <c r="G382" s="629"/>
      <c r="H382" s="629"/>
      <c r="I382" s="691"/>
      <c r="J382" s="629"/>
      <c r="K382" s="629"/>
      <c r="L382" s="629"/>
      <c r="M382" s="629"/>
      <c r="N382" s="629"/>
      <c r="O382" s="629"/>
      <c r="P382" s="629"/>
      <c r="Q382" s="629"/>
      <c r="R382" s="629"/>
      <c r="S382" s="629"/>
      <c r="T382" s="629"/>
      <c r="U382" s="629"/>
      <c r="V382" s="629"/>
      <c r="W382" s="629"/>
      <c r="X382" s="629"/>
      <c r="Y382" s="629"/>
      <c r="Z382" s="629"/>
      <c r="AA382" s="629"/>
      <c r="AB382" s="629"/>
      <c r="AC382" s="629"/>
      <c r="AD382" s="629"/>
      <c r="AE382" s="629"/>
    </row>
    <row r="383" spans="1:31" s="628" customFormat="1" ht="13" x14ac:dyDescent="0.3">
      <c r="A383" s="646"/>
      <c r="B383" s="689"/>
      <c r="C383" s="630"/>
      <c r="D383" s="668"/>
      <c r="E383" s="691"/>
      <c r="F383" s="629"/>
      <c r="G383" s="629"/>
      <c r="H383" s="629"/>
      <c r="I383" s="691"/>
      <c r="J383" s="629"/>
      <c r="K383" s="629"/>
      <c r="L383" s="629"/>
      <c r="M383" s="629"/>
      <c r="N383" s="629"/>
      <c r="O383" s="629"/>
      <c r="P383" s="629"/>
      <c r="Q383" s="629"/>
      <c r="R383" s="629"/>
      <c r="S383" s="629"/>
      <c r="T383" s="629"/>
      <c r="U383" s="629"/>
      <c r="V383" s="629"/>
      <c r="W383" s="629"/>
      <c r="X383" s="629"/>
      <c r="Y383" s="629"/>
      <c r="Z383" s="629"/>
      <c r="AA383" s="629"/>
      <c r="AB383" s="629"/>
      <c r="AC383" s="629"/>
      <c r="AD383" s="629"/>
      <c r="AE383" s="629"/>
    </row>
    <row r="384" spans="1:31" s="628" customFormat="1" ht="13" x14ac:dyDescent="0.3">
      <c r="A384" s="646"/>
      <c r="B384" s="689"/>
      <c r="C384" s="630"/>
      <c r="D384" s="668"/>
      <c r="E384" s="691"/>
      <c r="F384" s="629"/>
      <c r="G384" s="629"/>
      <c r="H384" s="629"/>
      <c r="I384" s="691"/>
      <c r="J384" s="629"/>
      <c r="K384" s="629"/>
      <c r="L384" s="629"/>
      <c r="M384" s="629"/>
      <c r="N384" s="629"/>
      <c r="O384" s="629"/>
      <c r="P384" s="629"/>
      <c r="Q384" s="629"/>
      <c r="R384" s="629"/>
      <c r="S384" s="629"/>
      <c r="T384" s="629"/>
      <c r="U384" s="629"/>
      <c r="V384" s="629"/>
      <c r="W384" s="629"/>
      <c r="X384" s="629"/>
      <c r="Y384" s="629"/>
      <c r="Z384" s="629"/>
      <c r="AA384" s="629"/>
      <c r="AB384" s="629"/>
      <c r="AC384" s="629"/>
      <c r="AD384" s="629"/>
      <c r="AE384" s="629"/>
    </row>
    <row r="385" spans="1:31" s="628" customFormat="1" ht="13" x14ac:dyDescent="0.3">
      <c r="A385" s="646"/>
      <c r="B385" s="689"/>
      <c r="C385" s="630"/>
      <c r="D385" s="668"/>
      <c r="E385" s="691"/>
      <c r="F385" s="629"/>
      <c r="G385" s="629"/>
      <c r="H385" s="629"/>
      <c r="I385" s="691"/>
      <c r="J385" s="629"/>
      <c r="K385" s="629"/>
      <c r="L385" s="629"/>
      <c r="M385" s="629"/>
      <c r="N385" s="629"/>
      <c r="O385" s="629"/>
      <c r="P385" s="629"/>
      <c r="Q385" s="629"/>
      <c r="R385" s="629"/>
      <c r="S385" s="629"/>
      <c r="T385" s="629"/>
      <c r="U385" s="629"/>
      <c r="V385" s="629"/>
      <c r="W385" s="629"/>
      <c r="X385" s="629"/>
      <c r="Y385" s="629"/>
      <c r="Z385" s="629"/>
      <c r="AA385" s="629"/>
      <c r="AB385" s="629"/>
      <c r="AC385" s="629"/>
      <c r="AD385" s="629"/>
      <c r="AE385" s="629"/>
    </row>
    <row r="386" spans="1:31" s="628" customFormat="1" ht="13" x14ac:dyDescent="0.3">
      <c r="A386" s="646"/>
      <c r="B386" s="689"/>
      <c r="C386" s="630"/>
      <c r="D386" s="668"/>
      <c r="E386" s="691"/>
      <c r="F386" s="629"/>
      <c r="G386" s="629"/>
      <c r="H386" s="629"/>
      <c r="I386" s="691"/>
      <c r="J386" s="629"/>
      <c r="K386" s="629"/>
      <c r="L386" s="629"/>
      <c r="M386" s="629"/>
      <c r="N386" s="629"/>
      <c r="O386" s="629"/>
      <c r="P386" s="629"/>
      <c r="Q386" s="629"/>
      <c r="R386" s="629"/>
      <c r="S386" s="629"/>
      <c r="T386" s="629"/>
      <c r="U386" s="629"/>
      <c r="V386" s="629"/>
      <c r="W386" s="629"/>
      <c r="X386" s="629"/>
      <c r="Y386" s="629"/>
      <c r="Z386" s="629"/>
      <c r="AA386" s="629"/>
      <c r="AB386" s="629"/>
      <c r="AC386" s="629"/>
      <c r="AD386" s="629"/>
      <c r="AE386" s="629"/>
    </row>
    <row r="387" spans="1:31" s="628" customFormat="1" ht="13" x14ac:dyDescent="0.3">
      <c r="A387" s="646"/>
      <c r="B387" s="689"/>
      <c r="C387" s="630"/>
      <c r="D387" s="668"/>
      <c r="E387" s="691"/>
      <c r="F387" s="629"/>
      <c r="G387" s="629"/>
      <c r="H387" s="629"/>
      <c r="I387" s="691"/>
      <c r="J387" s="629"/>
      <c r="K387" s="629"/>
      <c r="L387" s="629"/>
      <c r="M387" s="629"/>
      <c r="N387" s="629"/>
      <c r="O387" s="629"/>
      <c r="P387" s="629"/>
      <c r="Q387" s="629"/>
      <c r="R387" s="629"/>
      <c r="S387" s="629"/>
      <c r="T387" s="629"/>
      <c r="U387" s="629"/>
      <c r="V387" s="629"/>
      <c r="W387" s="629"/>
      <c r="X387" s="629"/>
      <c r="Y387" s="629"/>
      <c r="Z387" s="629"/>
      <c r="AA387" s="629"/>
      <c r="AB387" s="629"/>
      <c r="AC387" s="629"/>
      <c r="AD387" s="629"/>
      <c r="AE387" s="629"/>
    </row>
    <row r="388" spans="1:31" s="628" customFormat="1" ht="13" x14ac:dyDescent="0.3">
      <c r="A388" s="646"/>
      <c r="B388" s="689"/>
      <c r="C388" s="630"/>
      <c r="D388" s="668"/>
      <c r="E388" s="691"/>
      <c r="F388" s="629"/>
      <c r="G388" s="629"/>
      <c r="H388" s="629"/>
      <c r="I388" s="691"/>
      <c r="J388" s="629"/>
      <c r="K388" s="629"/>
      <c r="L388" s="629"/>
      <c r="M388" s="629"/>
      <c r="N388" s="629"/>
      <c r="O388" s="629"/>
      <c r="P388" s="629"/>
      <c r="Q388" s="629"/>
      <c r="R388" s="629"/>
      <c r="S388" s="629"/>
      <c r="T388" s="629"/>
      <c r="U388" s="629"/>
      <c r="V388" s="629"/>
      <c r="W388" s="629"/>
      <c r="X388" s="629"/>
      <c r="Y388" s="629"/>
      <c r="Z388" s="629"/>
      <c r="AA388" s="629"/>
      <c r="AB388" s="629"/>
      <c r="AC388" s="629"/>
      <c r="AD388" s="629"/>
      <c r="AE388" s="629"/>
    </row>
    <row r="389" spans="1:31" s="628" customFormat="1" ht="13" x14ac:dyDescent="0.3">
      <c r="A389" s="646"/>
      <c r="B389" s="689"/>
      <c r="C389" s="630"/>
      <c r="D389" s="668"/>
      <c r="E389" s="691"/>
      <c r="F389" s="629"/>
      <c r="G389" s="629"/>
      <c r="H389" s="629"/>
      <c r="I389" s="691"/>
      <c r="J389" s="629"/>
      <c r="K389" s="629"/>
      <c r="L389" s="629"/>
      <c r="M389" s="629"/>
      <c r="N389" s="629"/>
      <c r="O389" s="629"/>
      <c r="P389" s="629"/>
      <c r="Q389" s="629"/>
      <c r="R389" s="629"/>
      <c r="S389" s="629"/>
      <c r="T389" s="629"/>
      <c r="U389" s="629"/>
      <c r="V389" s="629"/>
      <c r="W389" s="629"/>
      <c r="X389" s="629"/>
      <c r="Y389" s="629"/>
      <c r="Z389" s="629"/>
      <c r="AA389" s="629"/>
      <c r="AB389" s="629"/>
      <c r="AC389" s="629"/>
      <c r="AD389" s="629"/>
      <c r="AE389" s="629"/>
    </row>
    <row r="390" spans="1:31" s="628" customFormat="1" ht="13" x14ac:dyDescent="0.3">
      <c r="A390" s="646"/>
      <c r="B390" s="689"/>
      <c r="C390" s="630"/>
      <c r="D390" s="668"/>
      <c r="E390" s="691"/>
      <c r="F390" s="629"/>
      <c r="G390" s="629"/>
      <c r="H390" s="629"/>
      <c r="I390" s="691"/>
      <c r="J390" s="629"/>
      <c r="K390" s="629"/>
      <c r="L390" s="629"/>
      <c r="M390" s="629"/>
      <c r="N390" s="629"/>
      <c r="O390" s="629"/>
      <c r="P390" s="629"/>
      <c r="Q390" s="629"/>
      <c r="R390" s="629"/>
      <c r="S390" s="629"/>
      <c r="T390" s="629"/>
      <c r="U390" s="629"/>
      <c r="V390" s="629"/>
      <c r="W390" s="629"/>
      <c r="X390" s="629"/>
      <c r="Y390" s="629"/>
      <c r="Z390" s="629"/>
      <c r="AA390" s="629"/>
      <c r="AB390" s="629"/>
      <c r="AC390" s="629"/>
      <c r="AD390" s="629"/>
      <c r="AE390" s="629"/>
    </row>
    <row r="391" spans="1:31" s="628" customFormat="1" ht="13" x14ac:dyDescent="0.3">
      <c r="A391" s="646"/>
      <c r="B391" s="689"/>
      <c r="C391" s="630"/>
      <c r="D391" s="668"/>
      <c r="E391" s="691"/>
      <c r="F391" s="629"/>
      <c r="G391" s="629"/>
      <c r="H391" s="629"/>
      <c r="I391" s="691"/>
      <c r="J391" s="629"/>
      <c r="K391" s="629"/>
      <c r="L391" s="629"/>
      <c r="M391" s="629"/>
      <c r="N391" s="629"/>
      <c r="O391" s="629"/>
      <c r="P391" s="629"/>
      <c r="Q391" s="629"/>
      <c r="R391" s="629"/>
      <c r="S391" s="629"/>
      <c r="T391" s="629"/>
      <c r="U391" s="629"/>
      <c r="V391" s="629"/>
      <c r="W391" s="629"/>
      <c r="X391" s="629"/>
      <c r="Y391" s="629"/>
      <c r="Z391" s="629"/>
      <c r="AA391" s="629"/>
      <c r="AB391" s="629"/>
      <c r="AC391" s="629"/>
      <c r="AD391" s="629"/>
      <c r="AE391" s="629"/>
    </row>
    <row r="392" spans="1:31" s="628" customFormat="1" ht="13" x14ac:dyDescent="0.3">
      <c r="A392" s="646"/>
      <c r="B392" s="689"/>
      <c r="C392" s="630"/>
      <c r="D392" s="668"/>
      <c r="E392" s="691"/>
      <c r="F392" s="629"/>
      <c r="G392" s="629"/>
      <c r="H392" s="629"/>
      <c r="I392" s="691"/>
      <c r="J392" s="629"/>
      <c r="K392" s="629"/>
      <c r="L392" s="629"/>
      <c r="M392" s="629"/>
      <c r="N392" s="629"/>
      <c r="O392" s="629"/>
      <c r="P392" s="629"/>
      <c r="Q392" s="629"/>
      <c r="R392" s="629"/>
      <c r="S392" s="629"/>
      <c r="T392" s="629"/>
      <c r="U392" s="629"/>
      <c r="V392" s="629"/>
      <c r="W392" s="629"/>
      <c r="X392" s="629"/>
      <c r="Y392" s="629"/>
      <c r="Z392" s="629"/>
      <c r="AA392" s="629"/>
      <c r="AB392" s="629"/>
      <c r="AC392" s="629"/>
      <c r="AD392" s="629"/>
      <c r="AE392" s="629"/>
    </row>
    <row r="393" spans="1:31" s="628" customFormat="1" ht="13" x14ac:dyDescent="0.3">
      <c r="A393" s="646"/>
      <c r="B393" s="689"/>
      <c r="C393" s="630"/>
      <c r="D393" s="668"/>
      <c r="E393" s="691"/>
      <c r="F393" s="629"/>
      <c r="G393" s="629"/>
      <c r="H393" s="629"/>
      <c r="I393" s="691"/>
      <c r="J393" s="629"/>
      <c r="K393" s="629"/>
      <c r="L393" s="629"/>
      <c r="M393" s="629"/>
      <c r="N393" s="629"/>
      <c r="O393" s="629"/>
      <c r="P393" s="629"/>
      <c r="Q393" s="629"/>
      <c r="R393" s="629"/>
      <c r="S393" s="629"/>
      <c r="T393" s="629"/>
      <c r="U393" s="629"/>
      <c r="V393" s="629"/>
      <c r="W393" s="629"/>
      <c r="X393" s="629"/>
      <c r="Y393" s="629"/>
      <c r="Z393" s="629"/>
      <c r="AA393" s="629"/>
      <c r="AB393" s="629"/>
      <c r="AC393" s="629"/>
      <c r="AD393" s="629"/>
      <c r="AE393" s="629"/>
    </row>
    <row r="394" spans="1:31" s="628" customFormat="1" ht="13" x14ac:dyDescent="0.3">
      <c r="A394" s="646"/>
      <c r="B394" s="689"/>
      <c r="C394" s="630"/>
      <c r="D394" s="668"/>
      <c r="E394" s="691"/>
      <c r="F394" s="629"/>
      <c r="G394" s="629"/>
      <c r="H394" s="629"/>
      <c r="I394" s="691"/>
      <c r="J394" s="629"/>
      <c r="K394" s="629"/>
      <c r="L394" s="629"/>
      <c r="M394" s="629"/>
      <c r="N394" s="629"/>
      <c r="O394" s="629"/>
      <c r="P394" s="629"/>
      <c r="Q394" s="629"/>
      <c r="R394" s="629"/>
      <c r="S394" s="629"/>
      <c r="T394" s="629"/>
      <c r="U394" s="629"/>
      <c r="V394" s="629"/>
      <c r="W394" s="629"/>
      <c r="X394" s="629"/>
      <c r="Y394" s="629"/>
      <c r="Z394" s="629"/>
      <c r="AA394" s="629"/>
      <c r="AB394" s="629"/>
      <c r="AC394" s="629"/>
      <c r="AD394" s="629"/>
      <c r="AE394" s="629"/>
    </row>
    <row r="395" spans="1:31" s="628" customFormat="1" ht="13" x14ac:dyDescent="0.3">
      <c r="A395" s="646"/>
      <c r="B395" s="689"/>
      <c r="C395" s="630"/>
      <c r="D395" s="668"/>
      <c r="E395" s="691"/>
      <c r="F395" s="629"/>
      <c r="G395" s="629"/>
      <c r="H395" s="629"/>
      <c r="I395" s="691"/>
      <c r="J395" s="629"/>
      <c r="K395" s="629"/>
      <c r="L395" s="629"/>
      <c r="M395" s="629"/>
      <c r="N395" s="629"/>
      <c r="O395" s="629"/>
      <c r="P395" s="629"/>
      <c r="Q395" s="629"/>
      <c r="R395" s="629"/>
      <c r="S395" s="629"/>
      <c r="T395" s="629"/>
      <c r="U395" s="629"/>
      <c r="V395" s="629"/>
      <c r="W395" s="629"/>
      <c r="X395" s="629"/>
      <c r="Y395" s="629"/>
      <c r="Z395" s="629"/>
      <c r="AA395" s="629"/>
      <c r="AB395" s="629"/>
      <c r="AC395" s="629"/>
      <c r="AD395" s="629"/>
      <c r="AE395" s="629"/>
    </row>
    <row r="396" spans="1:31" s="628" customFormat="1" ht="13" x14ac:dyDescent="0.3">
      <c r="A396" s="646"/>
      <c r="B396" s="689"/>
      <c r="C396" s="630"/>
      <c r="D396" s="668"/>
      <c r="E396" s="691"/>
      <c r="F396" s="629"/>
      <c r="G396" s="629"/>
      <c r="H396" s="629"/>
      <c r="I396" s="691"/>
      <c r="J396" s="629"/>
      <c r="K396" s="629"/>
      <c r="L396" s="629"/>
      <c r="M396" s="629"/>
      <c r="N396" s="629"/>
      <c r="O396" s="629"/>
      <c r="P396" s="629"/>
      <c r="Q396" s="629"/>
      <c r="R396" s="629"/>
      <c r="S396" s="629"/>
      <c r="T396" s="629"/>
      <c r="U396" s="629"/>
      <c r="V396" s="629"/>
      <c r="W396" s="629"/>
      <c r="X396" s="629"/>
      <c r="Y396" s="629"/>
      <c r="Z396" s="629"/>
      <c r="AA396" s="629"/>
      <c r="AB396" s="629"/>
      <c r="AC396" s="629"/>
      <c r="AD396" s="629"/>
      <c r="AE396" s="629"/>
    </row>
    <row r="397" spans="1:31" s="628" customFormat="1" ht="13" x14ac:dyDescent="0.3">
      <c r="A397" s="646"/>
      <c r="B397" s="689"/>
      <c r="C397" s="630"/>
      <c r="D397" s="668"/>
      <c r="E397" s="691"/>
      <c r="F397" s="629"/>
      <c r="G397" s="629"/>
      <c r="H397" s="629"/>
      <c r="I397" s="691"/>
      <c r="J397" s="629"/>
      <c r="K397" s="629"/>
      <c r="L397" s="629"/>
      <c r="M397" s="629"/>
      <c r="N397" s="629"/>
      <c r="O397" s="629"/>
      <c r="P397" s="629"/>
      <c r="Q397" s="629"/>
      <c r="R397" s="629"/>
      <c r="S397" s="629"/>
      <c r="T397" s="629"/>
      <c r="U397" s="629"/>
      <c r="V397" s="629"/>
      <c r="W397" s="629"/>
      <c r="X397" s="629"/>
      <c r="Y397" s="629"/>
      <c r="Z397" s="629"/>
      <c r="AA397" s="629"/>
      <c r="AB397" s="629"/>
      <c r="AC397" s="629"/>
      <c r="AD397" s="629"/>
      <c r="AE397" s="629"/>
    </row>
    <row r="398" spans="1:31" s="628" customFormat="1" ht="13" x14ac:dyDescent="0.3">
      <c r="A398" s="646"/>
      <c r="B398" s="689"/>
      <c r="C398" s="630"/>
      <c r="D398" s="668"/>
      <c r="E398" s="691"/>
      <c r="F398" s="629"/>
      <c r="G398" s="629"/>
      <c r="H398" s="629"/>
      <c r="I398" s="691"/>
      <c r="J398" s="629"/>
      <c r="K398" s="629"/>
      <c r="L398" s="629"/>
      <c r="M398" s="629"/>
      <c r="N398" s="629"/>
      <c r="O398" s="629"/>
      <c r="P398" s="629"/>
      <c r="Q398" s="629"/>
      <c r="R398" s="629"/>
      <c r="S398" s="629"/>
      <c r="T398" s="629"/>
      <c r="U398" s="629"/>
      <c r="V398" s="629"/>
      <c r="W398" s="629"/>
      <c r="X398" s="629"/>
      <c r="Y398" s="629"/>
      <c r="Z398" s="629"/>
      <c r="AA398" s="629"/>
      <c r="AB398" s="629"/>
      <c r="AC398" s="629"/>
      <c r="AD398" s="629"/>
      <c r="AE398" s="629"/>
    </row>
    <row r="399" spans="1:31" s="628" customFormat="1" ht="13" x14ac:dyDescent="0.3">
      <c r="A399" s="646"/>
      <c r="B399" s="689"/>
      <c r="C399" s="630"/>
      <c r="D399" s="668"/>
      <c r="E399" s="691"/>
      <c r="F399" s="629"/>
      <c r="G399" s="629"/>
      <c r="H399" s="629"/>
      <c r="I399" s="691"/>
      <c r="J399" s="629"/>
      <c r="K399" s="629"/>
      <c r="L399" s="629"/>
      <c r="M399" s="629"/>
      <c r="N399" s="629"/>
      <c r="O399" s="629"/>
      <c r="P399" s="629"/>
      <c r="Q399" s="629"/>
      <c r="R399" s="629"/>
      <c r="S399" s="629"/>
      <c r="T399" s="629"/>
      <c r="U399" s="629"/>
      <c r="V399" s="629"/>
      <c r="W399" s="629"/>
      <c r="X399" s="629"/>
      <c r="Y399" s="629"/>
      <c r="Z399" s="629"/>
      <c r="AA399" s="629"/>
      <c r="AB399" s="629"/>
      <c r="AC399" s="629"/>
      <c r="AD399" s="629"/>
      <c r="AE399" s="629"/>
    </row>
    <row r="400" spans="1:31" s="628" customFormat="1" ht="13" x14ac:dyDescent="0.3">
      <c r="A400" s="646"/>
      <c r="B400" s="689"/>
      <c r="C400" s="630"/>
      <c r="D400" s="668"/>
      <c r="E400" s="691"/>
      <c r="F400" s="629"/>
      <c r="G400" s="629"/>
      <c r="H400" s="629"/>
      <c r="I400" s="691"/>
      <c r="J400" s="629"/>
      <c r="K400" s="629"/>
      <c r="L400" s="629"/>
      <c r="M400" s="629"/>
      <c r="N400" s="629"/>
      <c r="O400" s="629"/>
      <c r="P400" s="629"/>
      <c r="Q400" s="629"/>
      <c r="R400" s="629"/>
      <c r="S400" s="629"/>
      <c r="T400" s="629"/>
      <c r="U400" s="629"/>
      <c r="V400" s="629"/>
      <c r="W400" s="629"/>
      <c r="X400" s="629"/>
      <c r="Y400" s="629"/>
      <c r="Z400" s="629"/>
      <c r="AA400" s="629"/>
      <c r="AB400" s="629"/>
      <c r="AC400" s="629"/>
      <c r="AD400" s="629"/>
      <c r="AE400" s="629"/>
    </row>
    <row r="401" spans="1:31" s="628" customFormat="1" ht="13" x14ac:dyDescent="0.3">
      <c r="A401" s="646"/>
      <c r="B401" s="689"/>
      <c r="C401" s="630"/>
      <c r="D401" s="668"/>
      <c r="E401" s="691"/>
      <c r="F401" s="629"/>
      <c r="G401" s="629"/>
      <c r="H401" s="629"/>
      <c r="I401" s="691"/>
      <c r="J401" s="629"/>
      <c r="K401" s="629"/>
      <c r="L401" s="629"/>
      <c r="M401" s="629"/>
      <c r="N401" s="629"/>
      <c r="O401" s="629"/>
      <c r="P401" s="629"/>
      <c r="Q401" s="629"/>
      <c r="R401" s="629"/>
      <c r="S401" s="629"/>
      <c r="T401" s="629"/>
      <c r="U401" s="629"/>
      <c r="V401" s="629"/>
      <c r="W401" s="629"/>
      <c r="X401" s="629"/>
      <c r="Y401" s="629"/>
      <c r="Z401" s="629"/>
      <c r="AA401" s="629"/>
      <c r="AB401" s="629"/>
      <c r="AC401" s="629"/>
      <c r="AD401" s="629"/>
      <c r="AE401" s="629"/>
    </row>
    <row r="402" spans="1:31" s="628" customFormat="1" ht="13" x14ac:dyDescent="0.3">
      <c r="A402" s="646"/>
      <c r="B402" s="689"/>
      <c r="C402" s="630"/>
      <c r="D402" s="668"/>
      <c r="E402" s="691"/>
      <c r="F402" s="629"/>
      <c r="G402" s="629"/>
      <c r="H402" s="629"/>
      <c r="I402" s="691"/>
      <c r="J402" s="629"/>
      <c r="K402" s="629"/>
      <c r="L402" s="629"/>
      <c r="M402" s="629"/>
      <c r="N402" s="629"/>
      <c r="O402" s="629"/>
      <c r="P402" s="629"/>
      <c r="Q402" s="629"/>
      <c r="R402" s="629"/>
      <c r="S402" s="629"/>
      <c r="T402" s="629"/>
      <c r="U402" s="629"/>
      <c r="V402" s="629"/>
      <c r="W402" s="629"/>
      <c r="X402" s="629"/>
      <c r="Y402" s="629"/>
      <c r="Z402" s="629"/>
      <c r="AA402" s="629"/>
      <c r="AB402" s="629"/>
      <c r="AC402" s="629"/>
      <c r="AD402" s="629"/>
      <c r="AE402" s="629"/>
    </row>
    <row r="403" spans="1:31" s="628" customFormat="1" ht="13" x14ac:dyDescent="0.3">
      <c r="A403" s="646"/>
      <c r="B403" s="689"/>
      <c r="C403" s="630"/>
      <c r="D403" s="668"/>
      <c r="E403" s="691"/>
      <c r="F403" s="629"/>
      <c r="G403" s="629"/>
      <c r="H403" s="629"/>
      <c r="I403" s="691"/>
      <c r="J403" s="629"/>
      <c r="K403" s="629"/>
      <c r="L403" s="629"/>
      <c r="M403" s="629"/>
      <c r="N403" s="629"/>
      <c r="O403" s="629"/>
      <c r="P403" s="629"/>
      <c r="Q403" s="629"/>
      <c r="R403" s="629"/>
      <c r="S403" s="629"/>
      <c r="T403" s="629"/>
      <c r="U403" s="629"/>
      <c r="V403" s="629"/>
      <c r="W403" s="629"/>
      <c r="X403" s="629"/>
      <c r="Y403" s="629"/>
      <c r="Z403" s="629"/>
      <c r="AA403" s="629"/>
      <c r="AB403" s="629"/>
      <c r="AC403" s="629"/>
      <c r="AD403" s="629"/>
      <c r="AE403" s="629"/>
    </row>
    <row r="404" spans="1:31" s="628" customFormat="1" ht="13" x14ac:dyDescent="0.3">
      <c r="A404" s="646"/>
      <c r="B404" s="689"/>
      <c r="C404" s="630"/>
      <c r="D404" s="668"/>
      <c r="E404" s="691"/>
      <c r="F404" s="629"/>
      <c r="G404" s="629"/>
      <c r="H404" s="629"/>
      <c r="I404" s="691"/>
      <c r="J404" s="629"/>
      <c r="K404" s="629"/>
      <c r="L404" s="629"/>
      <c r="M404" s="629"/>
      <c r="N404" s="629"/>
      <c r="O404" s="629"/>
      <c r="P404" s="629"/>
      <c r="Q404" s="629"/>
      <c r="R404" s="629"/>
      <c r="S404" s="629"/>
      <c r="T404" s="629"/>
      <c r="U404" s="629"/>
      <c r="V404" s="629"/>
      <c r="W404" s="629"/>
      <c r="X404" s="629"/>
      <c r="Y404" s="629"/>
      <c r="Z404" s="629"/>
      <c r="AA404" s="629"/>
      <c r="AB404" s="629"/>
      <c r="AC404" s="629"/>
      <c r="AD404" s="629"/>
      <c r="AE404" s="629"/>
    </row>
    <row r="405" spans="1:31" s="628" customFormat="1" ht="13" x14ac:dyDescent="0.3">
      <c r="A405" s="646"/>
      <c r="B405" s="689"/>
      <c r="C405" s="630"/>
      <c r="D405" s="668"/>
      <c r="E405" s="691"/>
      <c r="F405" s="629"/>
      <c r="G405" s="629"/>
      <c r="H405" s="629"/>
      <c r="I405" s="691"/>
      <c r="J405" s="629"/>
      <c r="K405" s="629"/>
      <c r="L405" s="629"/>
      <c r="M405" s="629"/>
      <c r="N405" s="629"/>
      <c r="O405" s="629"/>
      <c r="P405" s="629"/>
      <c r="Q405" s="629"/>
      <c r="R405" s="629"/>
      <c r="S405" s="629"/>
      <c r="T405" s="629"/>
      <c r="U405" s="629"/>
      <c r="V405" s="629"/>
      <c r="W405" s="629"/>
      <c r="X405" s="629"/>
      <c r="Y405" s="629"/>
      <c r="Z405" s="629"/>
      <c r="AA405" s="629"/>
      <c r="AB405" s="629"/>
      <c r="AC405" s="629"/>
      <c r="AD405" s="629"/>
      <c r="AE405" s="629"/>
    </row>
    <row r="406" spans="1:31" s="628" customFormat="1" ht="13" x14ac:dyDescent="0.3">
      <c r="A406" s="646"/>
      <c r="B406" s="689"/>
      <c r="C406" s="630"/>
      <c r="D406" s="668"/>
      <c r="E406" s="691"/>
      <c r="F406" s="629"/>
      <c r="G406" s="629"/>
      <c r="H406" s="629"/>
      <c r="I406" s="691"/>
      <c r="J406" s="629"/>
      <c r="K406" s="629"/>
      <c r="L406" s="629"/>
      <c r="M406" s="629"/>
      <c r="N406" s="629"/>
      <c r="O406" s="629"/>
      <c r="P406" s="629"/>
      <c r="Q406" s="629"/>
      <c r="R406" s="629"/>
      <c r="S406" s="629"/>
      <c r="T406" s="629"/>
      <c r="U406" s="629"/>
      <c r="V406" s="629"/>
      <c r="W406" s="629"/>
      <c r="X406" s="629"/>
      <c r="Y406" s="629"/>
      <c r="Z406" s="629"/>
      <c r="AA406" s="629"/>
      <c r="AB406" s="629"/>
      <c r="AC406" s="629"/>
      <c r="AD406" s="629"/>
      <c r="AE406" s="629"/>
    </row>
    <row r="407" spans="1:31" s="628" customFormat="1" ht="13" x14ac:dyDescent="0.3">
      <c r="A407" s="646"/>
      <c r="B407" s="689"/>
      <c r="C407" s="630"/>
      <c r="D407" s="668"/>
      <c r="E407" s="691"/>
      <c r="F407" s="629"/>
      <c r="G407" s="629"/>
      <c r="H407" s="629"/>
      <c r="I407" s="691"/>
      <c r="J407" s="629"/>
      <c r="K407" s="629"/>
      <c r="L407" s="629"/>
      <c r="M407" s="629"/>
      <c r="N407" s="629"/>
      <c r="O407" s="629"/>
      <c r="P407" s="629"/>
      <c r="Q407" s="629"/>
      <c r="R407" s="629"/>
      <c r="S407" s="629"/>
      <c r="T407" s="629"/>
      <c r="U407" s="629"/>
      <c r="V407" s="629"/>
      <c r="W407" s="629"/>
      <c r="X407" s="629"/>
      <c r="Y407" s="629"/>
      <c r="Z407" s="629"/>
      <c r="AA407" s="629"/>
      <c r="AB407" s="629"/>
      <c r="AC407" s="629"/>
      <c r="AD407" s="629"/>
      <c r="AE407" s="629"/>
    </row>
    <row r="408" spans="1:31" s="628" customFormat="1" ht="13" x14ac:dyDescent="0.3">
      <c r="A408" s="646"/>
      <c r="B408" s="689"/>
      <c r="C408" s="630"/>
      <c r="D408" s="668"/>
      <c r="E408" s="691"/>
      <c r="F408" s="629"/>
      <c r="G408" s="629"/>
      <c r="H408" s="629"/>
      <c r="I408" s="691"/>
      <c r="J408" s="629"/>
      <c r="K408" s="629"/>
      <c r="L408" s="629"/>
      <c r="M408" s="629"/>
      <c r="N408" s="629"/>
      <c r="O408" s="629"/>
      <c r="P408" s="629"/>
      <c r="Q408" s="629"/>
      <c r="R408" s="629"/>
      <c r="S408" s="629"/>
      <c r="T408" s="629"/>
      <c r="U408" s="629"/>
      <c r="V408" s="629"/>
      <c r="W408" s="629"/>
      <c r="X408" s="629"/>
      <c r="Y408" s="629"/>
      <c r="Z408" s="629"/>
      <c r="AA408" s="629"/>
      <c r="AB408" s="629"/>
      <c r="AC408" s="629"/>
      <c r="AD408" s="629"/>
      <c r="AE408" s="629"/>
    </row>
    <row r="409" spans="1:31" s="628" customFormat="1" ht="13" x14ac:dyDescent="0.3">
      <c r="A409" s="646"/>
      <c r="B409" s="689"/>
      <c r="C409" s="630"/>
      <c r="D409" s="668"/>
      <c r="E409" s="691"/>
      <c r="F409" s="629"/>
      <c r="G409" s="629"/>
      <c r="H409" s="629"/>
      <c r="I409" s="691"/>
      <c r="J409" s="629"/>
      <c r="K409" s="629"/>
      <c r="L409" s="629"/>
      <c r="M409" s="629"/>
      <c r="N409" s="629"/>
      <c r="O409" s="629"/>
      <c r="P409" s="629"/>
      <c r="Q409" s="629"/>
      <c r="R409" s="629"/>
      <c r="S409" s="629"/>
      <c r="T409" s="629"/>
      <c r="U409" s="629"/>
      <c r="V409" s="629"/>
      <c r="W409" s="629"/>
      <c r="X409" s="629"/>
      <c r="Y409" s="629"/>
      <c r="Z409" s="629"/>
      <c r="AA409" s="629"/>
      <c r="AB409" s="629"/>
      <c r="AC409" s="629"/>
      <c r="AD409" s="629"/>
      <c r="AE409" s="629"/>
    </row>
    <row r="410" spans="1:31" s="628" customFormat="1" ht="13" x14ac:dyDescent="0.3">
      <c r="A410" s="646"/>
      <c r="B410" s="689"/>
      <c r="C410" s="630"/>
      <c r="D410" s="668"/>
      <c r="E410" s="691"/>
      <c r="F410" s="629"/>
      <c r="G410" s="629"/>
      <c r="H410" s="629"/>
      <c r="I410" s="691"/>
      <c r="J410" s="629"/>
      <c r="K410" s="629"/>
      <c r="L410" s="629"/>
      <c r="M410" s="629"/>
      <c r="N410" s="629"/>
      <c r="O410" s="629"/>
      <c r="P410" s="629"/>
      <c r="Q410" s="629"/>
      <c r="R410" s="629"/>
      <c r="S410" s="629"/>
      <c r="T410" s="629"/>
      <c r="U410" s="629"/>
      <c r="V410" s="629"/>
      <c r="W410" s="629"/>
      <c r="X410" s="629"/>
      <c r="Y410" s="629"/>
      <c r="Z410" s="629"/>
      <c r="AA410" s="629"/>
      <c r="AB410" s="629"/>
      <c r="AC410" s="629"/>
      <c r="AD410" s="629"/>
      <c r="AE410" s="629"/>
    </row>
    <row r="411" spans="1:31" s="628" customFormat="1" ht="13" x14ac:dyDescent="0.3">
      <c r="A411" s="646"/>
      <c r="B411" s="689"/>
      <c r="C411" s="630"/>
      <c r="D411" s="668"/>
      <c r="E411" s="691"/>
      <c r="F411" s="629"/>
      <c r="G411" s="629"/>
      <c r="H411" s="629"/>
      <c r="I411" s="691"/>
      <c r="J411" s="629"/>
      <c r="K411" s="629"/>
      <c r="L411" s="629"/>
      <c r="M411" s="629"/>
      <c r="N411" s="629"/>
      <c r="O411" s="629"/>
      <c r="P411" s="629"/>
      <c r="Q411" s="629"/>
      <c r="R411" s="629"/>
      <c r="S411" s="629"/>
      <c r="T411" s="629"/>
      <c r="U411" s="629"/>
      <c r="V411" s="629"/>
      <c r="W411" s="629"/>
      <c r="X411" s="629"/>
      <c r="Y411" s="629"/>
      <c r="Z411" s="629"/>
      <c r="AA411" s="629"/>
      <c r="AB411" s="629"/>
      <c r="AC411" s="629"/>
      <c r="AD411" s="629"/>
      <c r="AE411" s="629"/>
    </row>
    <row r="412" spans="1:31" s="628" customFormat="1" ht="13" x14ac:dyDescent="0.3">
      <c r="A412" s="646"/>
      <c r="B412" s="689"/>
      <c r="C412" s="630"/>
      <c r="D412" s="668"/>
      <c r="E412" s="691"/>
      <c r="F412" s="629"/>
      <c r="G412" s="629"/>
      <c r="H412" s="629"/>
      <c r="I412" s="691"/>
      <c r="J412" s="629"/>
      <c r="K412" s="629"/>
      <c r="L412" s="629"/>
      <c r="M412" s="629"/>
      <c r="N412" s="629"/>
      <c r="O412" s="629"/>
      <c r="P412" s="629"/>
      <c r="Q412" s="629"/>
      <c r="R412" s="629"/>
      <c r="S412" s="629"/>
      <c r="T412" s="629"/>
      <c r="U412" s="629"/>
      <c r="V412" s="629"/>
      <c r="W412" s="629"/>
      <c r="X412" s="629"/>
      <c r="Y412" s="629"/>
      <c r="Z412" s="629"/>
      <c r="AA412" s="629"/>
      <c r="AB412" s="629"/>
      <c r="AC412" s="629"/>
      <c r="AD412" s="629"/>
      <c r="AE412" s="629"/>
    </row>
    <row r="413" spans="1:31" s="628" customFormat="1" ht="13" x14ac:dyDescent="0.3">
      <c r="A413" s="646"/>
      <c r="B413" s="689"/>
      <c r="C413" s="630"/>
      <c r="D413" s="668"/>
      <c r="E413" s="691"/>
      <c r="F413" s="629"/>
      <c r="G413" s="629"/>
      <c r="H413" s="629"/>
      <c r="I413" s="691"/>
      <c r="J413" s="629"/>
      <c r="K413" s="629"/>
      <c r="L413" s="629"/>
      <c r="M413" s="629"/>
      <c r="N413" s="629"/>
      <c r="O413" s="629"/>
      <c r="P413" s="629"/>
      <c r="Q413" s="629"/>
      <c r="R413" s="629"/>
      <c r="S413" s="629"/>
      <c r="T413" s="629"/>
      <c r="U413" s="629"/>
      <c r="V413" s="629"/>
      <c r="W413" s="629"/>
      <c r="X413" s="629"/>
      <c r="Y413" s="629"/>
      <c r="Z413" s="629"/>
      <c r="AA413" s="629"/>
      <c r="AB413" s="629"/>
      <c r="AC413" s="629"/>
      <c r="AD413" s="629"/>
      <c r="AE413" s="629"/>
    </row>
    <row r="414" spans="1:31" s="628" customFormat="1" ht="13" x14ac:dyDescent="0.3">
      <c r="A414" s="646"/>
      <c r="B414" s="689"/>
      <c r="C414" s="630"/>
      <c r="D414" s="668"/>
      <c r="E414" s="691"/>
      <c r="F414" s="629"/>
      <c r="G414" s="629"/>
      <c r="H414" s="629"/>
      <c r="I414" s="691"/>
      <c r="J414" s="629"/>
      <c r="K414" s="629"/>
      <c r="L414" s="629"/>
      <c r="M414" s="629"/>
      <c r="N414" s="629"/>
      <c r="O414" s="629"/>
      <c r="P414" s="629"/>
      <c r="Q414" s="629"/>
      <c r="R414" s="629"/>
      <c r="S414" s="629"/>
      <c r="T414" s="629"/>
      <c r="U414" s="629"/>
      <c r="V414" s="629"/>
      <c r="W414" s="629"/>
      <c r="X414" s="629"/>
      <c r="Y414" s="629"/>
      <c r="Z414" s="629"/>
      <c r="AA414" s="629"/>
      <c r="AB414" s="629"/>
      <c r="AC414" s="629"/>
      <c r="AD414" s="629"/>
      <c r="AE414" s="629"/>
    </row>
    <row r="415" spans="1:31" s="628" customFormat="1" ht="13" x14ac:dyDescent="0.3">
      <c r="A415" s="646"/>
      <c r="B415" s="689"/>
      <c r="C415" s="630"/>
      <c r="D415" s="668"/>
      <c r="E415" s="691"/>
      <c r="F415" s="629"/>
      <c r="G415" s="629"/>
      <c r="H415" s="629"/>
      <c r="I415" s="691"/>
      <c r="J415" s="629"/>
      <c r="K415" s="629"/>
      <c r="L415" s="629"/>
      <c r="M415" s="629"/>
      <c r="N415" s="629"/>
      <c r="O415" s="629"/>
      <c r="P415" s="629"/>
      <c r="Q415" s="629"/>
      <c r="R415" s="629"/>
      <c r="S415" s="629"/>
      <c r="T415" s="629"/>
      <c r="U415" s="629"/>
      <c r="V415" s="629"/>
      <c r="W415" s="629"/>
      <c r="X415" s="629"/>
      <c r="Y415" s="629"/>
      <c r="Z415" s="629"/>
      <c r="AA415" s="629"/>
      <c r="AB415" s="629"/>
      <c r="AC415" s="629"/>
      <c r="AD415" s="629"/>
      <c r="AE415" s="629"/>
    </row>
    <row r="416" spans="1:31" s="628" customFormat="1" ht="13" x14ac:dyDescent="0.3">
      <c r="A416" s="646"/>
      <c r="B416" s="689"/>
      <c r="C416" s="630"/>
      <c r="D416" s="668"/>
      <c r="E416" s="691"/>
      <c r="F416" s="629"/>
      <c r="G416" s="629"/>
      <c r="H416" s="629"/>
      <c r="I416" s="691"/>
      <c r="J416" s="629"/>
      <c r="K416" s="629"/>
      <c r="L416" s="629"/>
      <c r="M416" s="629"/>
      <c r="N416" s="629"/>
      <c r="O416" s="629"/>
      <c r="P416" s="629"/>
      <c r="Q416" s="629"/>
      <c r="R416" s="629"/>
      <c r="S416" s="629"/>
      <c r="T416" s="629"/>
      <c r="U416" s="629"/>
      <c r="V416" s="629"/>
      <c r="W416" s="629"/>
      <c r="X416" s="629"/>
      <c r="Y416" s="629"/>
      <c r="Z416" s="629"/>
      <c r="AA416" s="629"/>
      <c r="AB416" s="629"/>
      <c r="AC416" s="629"/>
      <c r="AD416" s="629"/>
      <c r="AE416" s="629"/>
    </row>
    <row r="417" spans="1:31" s="628" customFormat="1" ht="13" x14ac:dyDescent="0.3">
      <c r="A417" s="646"/>
      <c r="B417" s="689"/>
      <c r="C417" s="630"/>
      <c r="D417" s="668"/>
      <c r="E417" s="691"/>
      <c r="F417" s="629"/>
      <c r="G417" s="629"/>
      <c r="H417" s="629"/>
      <c r="I417" s="691"/>
      <c r="J417" s="629"/>
      <c r="K417" s="629"/>
      <c r="L417" s="629"/>
      <c r="M417" s="629"/>
      <c r="N417" s="629"/>
      <c r="O417" s="629"/>
      <c r="P417" s="629"/>
      <c r="Q417" s="629"/>
      <c r="R417" s="629"/>
      <c r="S417" s="629"/>
      <c r="T417" s="629"/>
      <c r="U417" s="629"/>
      <c r="V417" s="629"/>
      <c r="W417" s="629"/>
      <c r="X417" s="629"/>
      <c r="Y417" s="629"/>
      <c r="Z417" s="629"/>
      <c r="AA417" s="629"/>
      <c r="AB417" s="629"/>
      <c r="AC417" s="629"/>
      <c r="AD417" s="629"/>
      <c r="AE417" s="629"/>
    </row>
    <row r="418" spans="1:31" s="628" customFormat="1" ht="13" x14ac:dyDescent="0.3">
      <c r="A418" s="646"/>
      <c r="B418" s="689"/>
      <c r="C418" s="630"/>
      <c r="D418" s="668"/>
      <c r="E418" s="691"/>
      <c r="F418" s="629"/>
      <c r="G418" s="629"/>
      <c r="H418" s="629"/>
      <c r="I418" s="691"/>
      <c r="J418" s="629"/>
      <c r="K418" s="629"/>
      <c r="L418" s="629"/>
      <c r="M418" s="629"/>
      <c r="N418" s="629"/>
      <c r="O418" s="629"/>
      <c r="P418" s="629"/>
      <c r="Q418" s="629"/>
      <c r="R418" s="629"/>
      <c r="S418" s="629"/>
      <c r="T418" s="629"/>
      <c r="U418" s="629"/>
      <c r="V418" s="629"/>
      <c r="W418" s="629"/>
      <c r="X418" s="629"/>
      <c r="Y418" s="629"/>
      <c r="Z418" s="629"/>
      <c r="AA418" s="629"/>
      <c r="AB418" s="629"/>
      <c r="AC418" s="629"/>
      <c r="AD418" s="629"/>
      <c r="AE418" s="629"/>
    </row>
    <row r="419" spans="1:31" s="628" customFormat="1" ht="13" x14ac:dyDescent="0.3">
      <c r="A419" s="646"/>
      <c r="B419" s="689"/>
      <c r="C419" s="630"/>
      <c r="D419" s="668"/>
      <c r="E419" s="691"/>
      <c r="F419" s="629"/>
      <c r="G419" s="629"/>
      <c r="H419" s="629"/>
      <c r="I419" s="691"/>
      <c r="J419" s="629"/>
      <c r="K419" s="629"/>
      <c r="L419" s="629"/>
      <c r="M419" s="629"/>
      <c r="N419" s="629"/>
      <c r="O419" s="629"/>
      <c r="P419" s="629"/>
      <c r="Q419" s="629"/>
      <c r="R419" s="629"/>
      <c r="S419" s="629"/>
      <c r="T419" s="629"/>
      <c r="U419" s="629"/>
      <c r="V419" s="629"/>
      <c r="W419" s="629"/>
      <c r="X419" s="629"/>
      <c r="Y419" s="629"/>
      <c r="Z419" s="629"/>
      <c r="AA419" s="629"/>
      <c r="AB419" s="629"/>
      <c r="AC419" s="629"/>
      <c r="AD419" s="629"/>
      <c r="AE419" s="629"/>
    </row>
    <row r="420" spans="1:31" s="628" customFormat="1" ht="13" x14ac:dyDescent="0.3">
      <c r="A420" s="646"/>
      <c r="B420" s="689"/>
      <c r="C420" s="630"/>
      <c r="D420" s="668"/>
      <c r="E420" s="691"/>
      <c r="F420" s="629"/>
      <c r="G420" s="629"/>
      <c r="H420" s="629"/>
      <c r="I420" s="691"/>
      <c r="J420" s="629"/>
      <c r="K420" s="629"/>
      <c r="L420" s="629"/>
      <c r="M420" s="629"/>
      <c r="N420" s="629"/>
      <c r="O420" s="629"/>
      <c r="P420" s="629"/>
      <c r="Q420" s="629"/>
      <c r="R420" s="629"/>
      <c r="S420" s="629"/>
      <c r="T420" s="629"/>
      <c r="U420" s="629"/>
      <c r="V420" s="629"/>
      <c r="W420" s="629"/>
      <c r="X420" s="629"/>
      <c r="Y420" s="629"/>
      <c r="Z420" s="629"/>
      <c r="AA420" s="629"/>
      <c r="AB420" s="629"/>
      <c r="AC420" s="629"/>
      <c r="AD420" s="629"/>
      <c r="AE420" s="629"/>
    </row>
    <row r="421" spans="1:31" s="628" customFormat="1" ht="13" x14ac:dyDescent="0.3">
      <c r="A421" s="646"/>
      <c r="B421" s="689"/>
      <c r="C421" s="630"/>
      <c r="D421" s="668"/>
      <c r="E421" s="691"/>
      <c r="F421" s="629"/>
      <c r="G421" s="629"/>
      <c r="H421" s="629"/>
      <c r="I421" s="691"/>
      <c r="J421" s="629"/>
      <c r="K421" s="629"/>
      <c r="L421" s="629"/>
      <c r="M421" s="629"/>
      <c r="N421" s="629"/>
      <c r="O421" s="629"/>
      <c r="P421" s="629"/>
      <c r="Q421" s="629"/>
      <c r="R421" s="629"/>
      <c r="S421" s="629"/>
      <c r="T421" s="629"/>
      <c r="U421" s="629"/>
      <c r="V421" s="629"/>
      <c r="W421" s="629"/>
      <c r="X421" s="629"/>
      <c r="Y421" s="629"/>
      <c r="Z421" s="629"/>
      <c r="AA421" s="629"/>
      <c r="AB421" s="629"/>
      <c r="AC421" s="629"/>
      <c r="AD421" s="629"/>
      <c r="AE421" s="629"/>
    </row>
    <row r="422" spans="1:31" s="628" customFormat="1" ht="13" x14ac:dyDescent="0.3">
      <c r="A422" s="646"/>
      <c r="B422" s="689"/>
      <c r="C422" s="630"/>
      <c r="D422" s="668"/>
      <c r="E422" s="691"/>
      <c r="F422" s="629"/>
      <c r="G422" s="629"/>
      <c r="H422" s="629"/>
      <c r="I422" s="691"/>
      <c r="J422" s="629"/>
      <c r="K422" s="629"/>
      <c r="L422" s="629"/>
      <c r="M422" s="629"/>
      <c r="N422" s="629"/>
      <c r="O422" s="629"/>
      <c r="P422" s="629"/>
      <c r="Q422" s="629"/>
      <c r="R422" s="629"/>
      <c r="S422" s="629"/>
      <c r="T422" s="629"/>
      <c r="U422" s="629"/>
      <c r="V422" s="629"/>
      <c r="W422" s="629"/>
      <c r="X422" s="629"/>
      <c r="Y422" s="629"/>
      <c r="Z422" s="629"/>
      <c r="AA422" s="629"/>
      <c r="AB422" s="629"/>
      <c r="AC422" s="629"/>
      <c r="AD422" s="629"/>
      <c r="AE422" s="629"/>
    </row>
    <row r="423" spans="1:31" s="628" customFormat="1" ht="13" x14ac:dyDescent="0.3">
      <c r="A423" s="646"/>
      <c r="B423" s="689"/>
      <c r="C423" s="630"/>
      <c r="D423" s="668"/>
      <c r="E423" s="691"/>
      <c r="F423" s="629"/>
      <c r="G423" s="629"/>
      <c r="H423" s="629"/>
      <c r="I423" s="691"/>
      <c r="J423" s="629"/>
      <c r="K423" s="629"/>
      <c r="L423" s="629"/>
      <c r="M423" s="629"/>
      <c r="N423" s="629"/>
      <c r="O423" s="629"/>
      <c r="P423" s="629"/>
      <c r="Q423" s="629"/>
      <c r="R423" s="629"/>
      <c r="S423" s="629"/>
      <c r="T423" s="629"/>
      <c r="U423" s="629"/>
      <c r="V423" s="629"/>
      <c r="W423" s="629"/>
      <c r="X423" s="629"/>
      <c r="Y423" s="629"/>
      <c r="Z423" s="629"/>
      <c r="AA423" s="629"/>
      <c r="AB423" s="629"/>
      <c r="AC423" s="629"/>
      <c r="AD423" s="629"/>
      <c r="AE423" s="629"/>
    </row>
    <row r="424" spans="1:31" s="628" customFormat="1" ht="13" x14ac:dyDescent="0.3">
      <c r="A424" s="646"/>
      <c r="B424" s="689"/>
      <c r="C424" s="630"/>
      <c r="D424" s="668"/>
      <c r="E424" s="691"/>
      <c r="F424" s="629"/>
      <c r="G424" s="629"/>
      <c r="H424" s="629"/>
      <c r="I424" s="691"/>
      <c r="J424" s="629"/>
      <c r="K424" s="629"/>
      <c r="L424" s="629"/>
      <c r="M424" s="629"/>
      <c r="N424" s="629"/>
      <c r="O424" s="629"/>
      <c r="P424" s="629"/>
      <c r="Q424" s="629"/>
      <c r="R424" s="629"/>
      <c r="S424" s="629"/>
      <c r="T424" s="629"/>
      <c r="U424" s="629"/>
      <c r="V424" s="629"/>
      <c r="W424" s="629"/>
      <c r="X424" s="629"/>
      <c r="Y424" s="629"/>
      <c r="Z424" s="629"/>
      <c r="AA424" s="629"/>
      <c r="AB424" s="629"/>
      <c r="AC424" s="629"/>
      <c r="AD424" s="629"/>
      <c r="AE424" s="629"/>
    </row>
    <row r="425" spans="1:31" s="628" customFormat="1" ht="13" x14ac:dyDescent="0.3">
      <c r="A425" s="646"/>
      <c r="B425" s="689"/>
      <c r="C425" s="630"/>
      <c r="D425" s="668"/>
      <c r="E425" s="691"/>
      <c r="F425" s="629"/>
      <c r="G425" s="629"/>
      <c r="H425" s="629"/>
      <c r="I425" s="691"/>
      <c r="J425" s="629"/>
      <c r="K425" s="629"/>
      <c r="L425" s="629"/>
      <c r="M425" s="629"/>
      <c r="N425" s="629"/>
      <c r="O425" s="629"/>
      <c r="P425" s="629"/>
      <c r="Q425" s="629"/>
      <c r="R425" s="629"/>
      <c r="S425" s="629"/>
      <c r="T425" s="629"/>
      <c r="U425" s="629"/>
      <c r="V425" s="629"/>
      <c r="W425" s="629"/>
      <c r="X425" s="629"/>
      <c r="Y425" s="629"/>
      <c r="Z425" s="629"/>
      <c r="AA425" s="629"/>
      <c r="AB425" s="629"/>
      <c r="AC425" s="629"/>
      <c r="AD425" s="629"/>
      <c r="AE425" s="629"/>
    </row>
    <row r="426" spans="1:31" s="628" customFormat="1" ht="13" x14ac:dyDescent="0.3">
      <c r="A426" s="646"/>
      <c r="B426" s="689"/>
      <c r="C426" s="630"/>
      <c r="D426" s="668"/>
      <c r="E426" s="691"/>
      <c r="F426" s="629"/>
      <c r="G426" s="629"/>
      <c r="H426" s="629"/>
      <c r="I426" s="691"/>
      <c r="J426" s="629"/>
      <c r="K426" s="629"/>
      <c r="L426" s="629"/>
      <c r="M426" s="629"/>
      <c r="N426" s="629"/>
      <c r="O426" s="629"/>
      <c r="P426" s="629"/>
      <c r="Q426" s="629"/>
      <c r="R426" s="629"/>
      <c r="S426" s="629"/>
      <c r="T426" s="629"/>
      <c r="U426" s="629"/>
      <c r="V426" s="629"/>
      <c r="W426" s="629"/>
      <c r="X426" s="629"/>
      <c r="Y426" s="629"/>
      <c r="Z426" s="629"/>
      <c r="AA426" s="629"/>
      <c r="AB426" s="629"/>
      <c r="AC426" s="629"/>
      <c r="AD426" s="629"/>
      <c r="AE426" s="629"/>
    </row>
    <row r="427" spans="1:31" s="628" customFormat="1" ht="13" x14ac:dyDescent="0.3">
      <c r="A427" s="646"/>
      <c r="B427" s="689"/>
      <c r="C427" s="630"/>
      <c r="D427" s="668"/>
      <c r="E427" s="691"/>
      <c r="F427" s="629"/>
      <c r="G427" s="629"/>
      <c r="H427" s="629"/>
      <c r="I427" s="691"/>
      <c r="J427" s="629"/>
      <c r="K427" s="629"/>
      <c r="L427" s="629"/>
      <c r="M427" s="629"/>
      <c r="N427" s="629"/>
      <c r="O427" s="629"/>
      <c r="P427" s="629"/>
      <c r="Q427" s="629"/>
      <c r="R427" s="629"/>
      <c r="S427" s="629"/>
      <c r="T427" s="629"/>
      <c r="U427" s="629"/>
      <c r="V427" s="629"/>
      <c r="W427" s="629"/>
      <c r="X427" s="629"/>
      <c r="Y427" s="629"/>
      <c r="Z427" s="629"/>
      <c r="AA427" s="629"/>
      <c r="AB427" s="629"/>
      <c r="AC427" s="629"/>
      <c r="AD427" s="629"/>
      <c r="AE427" s="629"/>
    </row>
    <row r="428" spans="1:31" s="628" customFormat="1" ht="13" x14ac:dyDescent="0.3">
      <c r="A428" s="646"/>
      <c r="B428" s="689"/>
      <c r="C428" s="630"/>
      <c r="D428" s="668"/>
      <c r="E428" s="691"/>
      <c r="F428" s="629"/>
      <c r="G428" s="629"/>
      <c r="H428" s="629"/>
      <c r="I428" s="691"/>
      <c r="J428" s="629"/>
      <c r="K428" s="629"/>
      <c r="L428" s="629"/>
      <c r="M428" s="629"/>
      <c r="N428" s="629"/>
      <c r="O428" s="629"/>
      <c r="P428" s="629"/>
      <c r="Q428" s="629"/>
      <c r="R428" s="629"/>
      <c r="S428" s="629"/>
      <c r="T428" s="629"/>
      <c r="U428" s="629"/>
      <c r="V428" s="629"/>
      <c r="W428" s="629"/>
      <c r="X428" s="629"/>
      <c r="Y428" s="629"/>
      <c r="Z428" s="629"/>
      <c r="AA428" s="629"/>
      <c r="AB428" s="629"/>
      <c r="AC428" s="629"/>
      <c r="AD428" s="629"/>
      <c r="AE428" s="629"/>
    </row>
    <row r="429" spans="1:31" s="628" customFormat="1" ht="13" x14ac:dyDescent="0.3">
      <c r="A429" s="646"/>
      <c r="B429" s="689"/>
      <c r="C429" s="630"/>
      <c r="D429" s="668"/>
      <c r="E429" s="691"/>
      <c r="F429" s="629"/>
      <c r="G429" s="629"/>
      <c r="H429" s="629"/>
      <c r="I429" s="691"/>
      <c r="J429" s="629"/>
      <c r="K429" s="629"/>
      <c r="L429" s="629"/>
      <c r="M429" s="629"/>
      <c r="N429" s="629"/>
      <c r="O429" s="629"/>
      <c r="P429" s="629"/>
      <c r="Q429" s="629"/>
      <c r="R429" s="629"/>
      <c r="S429" s="629"/>
      <c r="T429" s="629"/>
      <c r="U429" s="629"/>
      <c r="V429" s="629"/>
      <c r="W429" s="629"/>
      <c r="X429" s="629"/>
      <c r="Y429" s="629"/>
      <c r="Z429" s="629"/>
      <c r="AA429" s="629"/>
      <c r="AB429" s="629"/>
      <c r="AC429" s="629"/>
      <c r="AD429" s="629"/>
      <c r="AE429" s="629"/>
    </row>
    <row r="430" spans="1:31" s="628" customFormat="1" ht="13" x14ac:dyDescent="0.3">
      <c r="A430" s="646"/>
      <c r="B430" s="689"/>
      <c r="C430" s="630"/>
      <c r="D430" s="668"/>
      <c r="E430" s="691"/>
      <c r="F430" s="629"/>
      <c r="G430" s="629"/>
      <c r="H430" s="629"/>
      <c r="I430" s="691"/>
      <c r="J430" s="629"/>
      <c r="K430" s="629"/>
      <c r="L430" s="629"/>
      <c r="M430" s="629"/>
      <c r="N430" s="629"/>
      <c r="O430" s="629"/>
      <c r="P430" s="629"/>
      <c r="Q430" s="629"/>
      <c r="R430" s="629"/>
      <c r="S430" s="629"/>
      <c r="T430" s="629"/>
      <c r="U430" s="629"/>
      <c r="V430" s="629"/>
      <c r="W430" s="629"/>
      <c r="X430" s="629"/>
      <c r="Y430" s="629"/>
      <c r="Z430" s="629"/>
      <c r="AA430" s="629"/>
      <c r="AB430" s="629"/>
      <c r="AC430" s="629"/>
      <c r="AD430" s="629"/>
      <c r="AE430" s="629"/>
    </row>
    <row r="431" spans="1:31" s="628" customFormat="1" ht="13" x14ac:dyDescent="0.3">
      <c r="A431" s="646"/>
      <c r="B431" s="689"/>
      <c r="C431" s="630"/>
      <c r="D431" s="668"/>
      <c r="E431" s="691"/>
      <c r="F431" s="629"/>
      <c r="G431" s="629"/>
      <c r="H431" s="629"/>
      <c r="I431" s="691"/>
      <c r="J431" s="629"/>
      <c r="K431" s="629"/>
      <c r="L431" s="629"/>
      <c r="M431" s="629"/>
      <c r="N431" s="629"/>
      <c r="O431" s="629"/>
      <c r="P431" s="629"/>
      <c r="Q431" s="629"/>
      <c r="R431" s="629"/>
      <c r="S431" s="629"/>
      <c r="T431" s="629"/>
      <c r="U431" s="629"/>
      <c r="V431" s="629"/>
      <c r="W431" s="629"/>
      <c r="X431" s="629"/>
      <c r="Y431" s="629"/>
      <c r="Z431" s="629"/>
      <c r="AA431" s="629"/>
      <c r="AB431" s="629"/>
      <c r="AC431" s="629"/>
      <c r="AD431" s="629"/>
      <c r="AE431" s="629"/>
    </row>
    <row r="432" spans="1:31" s="628" customFormat="1" ht="13" x14ac:dyDescent="0.3">
      <c r="A432" s="646"/>
      <c r="B432" s="689"/>
      <c r="C432" s="630"/>
      <c r="D432" s="668"/>
      <c r="E432" s="691"/>
      <c r="F432" s="629"/>
      <c r="G432" s="629"/>
      <c r="H432" s="629"/>
      <c r="I432" s="691"/>
      <c r="J432" s="629"/>
      <c r="K432" s="629"/>
      <c r="L432" s="629"/>
      <c r="M432" s="629"/>
      <c r="N432" s="629"/>
      <c r="O432" s="629"/>
      <c r="P432" s="629"/>
      <c r="Q432" s="629"/>
      <c r="R432" s="629"/>
      <c r="S432" s="629"/>
      <c r="T432" s="629"/>
      <c r="U432" s="629"/>
      <c r="V432" s="629"/>
      <c r="W432" s="629"/>
      <c r="X432" s="629"/>
      <c r="Y432" s="629"/>
      <c r="Z432" s="629"/>
      <c r="AA432" s="629"/>
      <c r="AB432" s="629"/>
      <c r="AC432" s="629"/>
      <c r="AD432" s="629"/>
      <c r="AE432" s="629"/>
    </row>
    <row r="433" spans="1:31" s="628" customFormat="1" ht="13" x14ac:dyDescent="0.3">
      <c r="A433" s="646"/>
      <c r="B433" s="689"/>
      <c r="C433" s="630"/>
      <c r="D433" s="668"/>
      <c r="E433" s="691"/>
      <c r="F433" s="629"/>
      <c r="G433" s="629"/>
      <c r="H433" s="629"/>
      <c r="I433" s="691"/>
      <c r="J433" s="629"/>
      <c r="K433" s="629"/>
      <c r="L433" s="629"/>
      <c r="M433" s="629"/>
      <c r="N433" s="629"/>
      <c r="O433" s="629"/>
      <c r="P433" s="629"/>
      <c r="Q433" s="629"/>
      <c r="R433" s="629"/>
      <c r="S433" s="629"/>
      <c r="T433" s="629"/>
      <c r="U433" s="629"/>
      <c r="V433" s="629"/>
      <c r="W433" s="629"/>
      <c r="X433" s="629"/>
      <c r="Y433" s="629"/>
      <c r="Z433" s="629"/>
      <c r="AA433" s="629"/>
      <c r="AB433" s="629"/>
      <c r="AC433" s="629"/>
      <c r="AD433" s="629"/>
      <c r="AE433" s="629"/>
    </row>
    <row r="434" spans="1:31" s="628" customFormat="1" ht="13" x14ac:dyDescent="0.3">
      <c r="A434" s="646"/>
      <c r="B434" s="689"/>
      <c r="C434" s="630"/>
      <c r="D434" s="668"/>
      <c r="E434" s="691"/>
      <c r="F434" s="629"/>
      <c r="G434" s="629"/>
      <c r="H434" s="629"/>
      <c r="I434" s="691"/>
      <c r="J434" s="629"/>
      <c r="K434" s="629"/>
      <c r="L434" s="629"/>
      <c r="M434" s="629"/>
      <c r="N434" s="629"/>
      <c r="O434" s="629"/>
      <c r="P434" s="629"/>
      <c r="Q434" s="629"/>
      <c r="R434" s="629"/>
      <c r="S434" s="629"/>
      <c r="T434" s="629"/>
      <c r="U434" s="629"/>
      <c r="V434" s="629"/>
      <c r="W434" s="629"/>
      <c r="X434" s="629"/>
      <c r="Y434" s="629"/>
      <c r="Z434" s="629"/>
      <c r="AA434" s="629"/>
      <c r="AB434" s="629"/>
      <c r="AC434" s="629"/>
      <c r="AD434" s="629"/>
      <c r="AE434" s="629"/>
    </row>
    <row r="435" spans="1:31" s="628" customFormat="1" ht="13" x14ac:dyDescent="0.3">
      <c r="A435" s="646"/>
      <c r="B435" s="689"/>
      <c r="C435" s="630"/>
      <c r="D435" s="668"/>
      <c r="E435" s="691"/>
      <c r="F435" s="629"/>
      <c r="G435" s="629"/>
      <c r="H435" s="629"/>
      <c r="I435" s="691"/>
      <c r="J435" s="629"/>
      <c r="K435" s="629"/>
      <c r="L435" s="629"/>
      <c r="M435" s="629"/>
      <c r="N435" s="629"/>
      <c r="O435" s="629"/>
      <c r="P435" s="629"/>
      <c r="Q435" s="629"/>
      <c r="R435" s="629"/>
      <c r="S435" s="629"/>
      <c r="T435" s="629"/>
      <c r="U435" s="629"/>
      <c r="V435" s="629"/>
      <c r="W435" s="629"/>
      <c r="X435" s="629"/>
      <c r="Y435" s="629"/>
      <c r="Z435" s="629"/>
      <c r="AA435" s="629"/>
      <c r="AB435" s="629"/>
      <c r="AC435" s="629"/>
      <c r="AD435" s="629"/>
      <c r="AE435" s="629"/>
    </row>
    <row r="436" spans="1:31" s="628" customFormat="1" ht="13" x14ac:dyDescent="0.3">
      <c r="A436" s="646"/>
      <c r="B436" s="689"/>
      <c r="C436" s="630"/>
      <c r="D436" s="668"/>
      <c r="E436" s="691"/>
      <c r="F436" s="629"/>
      <c r="G436" s="629"/>
      <c r="H436" s="629"/>
      <c r="I436" s="691"/>
      <c r="J436" s="629"/>
      <c r="K436" s="629"/>
      <c r="L436" s="629"/>
      <c r="M436" s="629"/>
      <c r="N436" s="629"/>
      <c r="O436" s="629"/>
      <c r="P436" s="629"/>
      <c r="Q436" s="629"/>
      <c r="R436" s="629"/>
      <c r="S436" s="629"/>
      <c r="T436" s="629"/>
      <c r="U436" s="629"/>
      <c r="V436" s="629"/>
      <c r="W436" s="629"/>
      <c r="X436" s="629"/>
      <c r="Y436" s="629"/>
      <c r="Z436" s="629"/>
      <c r="AA436" s="629"/>
      <c r="AB436" s="629"/>
      <c r="AC436" s="629"/>
      <c r="AD436" s="629"/>
      <c r="AE436" s="629"/>
    </row>
    <row r="437" spans="1:31" s="628" customFormat="1" ht="13" x14ac:dyDescent="0.3">
      <c r="A437" s="646"/>
      <c r="B437" s="689"/>
      <c r="C437" s="630"/>
      <c r="D437" s="668"/>
      <c r="E437" s="691"/>
      <c r="F437" s="629"/>
      <c r="G437" s="629"/>
      <c r="H437" s="629"/>
      <c r="I437" s="691"/>
      <c r="J437" s="629"/>
      <c r="K437" s="629"/>
      <c r="L437" s="629"/>
      <c r="M437" s="629"/>
      <c r="N437" s="629"/>
      <c r="O437" s="629"/>
      <c r="P437" s="629"/>
      <c r="Q437" s="629"/>
      <c r="R437" s="629"/>
      <c r="S437" s="629"/>
      <c r="T437" s="629"/>
      <c r="U437" s="629"/>
      <c r="V437" s="629"/>
      <c r="W437" s="629"/>
      <c r="X437" s="629"/>
      <c r="Y437" s="629"/>
      <c r="Z437" s="629"/>
      <c r="AA437" s="629"/>
      <c r="AB437" s="629"/>
      <c r="AC437" s="629"/>
      <c r="AD437" s="629"/>
      <c r="AE437" s="629"/>
    </row>
    <row r="438" spans="1:31" s="628" customFormat="1" ht="13" x14ac:dyDescent="0.3">
      <c r="A438" s="646"/>
      <c r="B438" s="689"/>
      <c r="C438" s="630"/>
      <c r="D438" s="668"/>
      <c r="E438" s="691"/>
      <c r="F438" s="629"/>
      <c r="G438" s="629"/>
      <c r="H438" s="629"/>
      <c r="I438" s="691"/>
      <c r="J438" s="629"/>
      <c r="K438" s="629"/>
      <c r="L438" s="629"/>
      <c r="M438" s="629"/>
      <c r="N438" s="629"/>
      <c r="O438" s="629"/>
      <c r="P438" s="629"/>
      <c r="Q438" s="629"/>
      <c r="R438" s="629"/>
      <c r="S438" s="629"/>
      <c r="T438" s="629"/>
      <c r="U438" s="629"/>
      <c r="V438" s="629"/>
      <c r="W438" s="629"/>
      <c r="X438" s="629"/>
      <c r="Y438" s="629"/>
      <c r="Z438" s="629"/>
      <c r="AA438" s="629"/>
      <c r="AB438" s="629"/>
      <c r="AC438" s="629"/>
      <c r="AD438" s="629"/>
      <c r="AE438" s="629"/>
    </row>
    <row r="439" spans="1:31" s="628" customFormat="1" ht="13" x14ac:dyDescent="0.3">
      <c r="A439" s="646"/>
      <c r="B439" s="689"/>
      <c r="C439" s="630"/>
      <c r="D439" s="668"/>
      <c r="E439" s="691"/>
      <c r="F439" s="629"/>
      <c r="G439" s="629"/>
      <c r="H439" s="629"/>
      <c r="I439" s="691"/>
      <c r="J439" s="629"/>
      <c r="K439" s="629"/>
      <c r="L439" s="629"/>
      <c r="M439" s="629"/>
      <c r="N439" s="629"/>
      <c r="O439" s="629"/>
      <c r="P439" s="629"/>
      <c r="Q439" s="629"/>
      <c r="R439" s="629"/>
      <c r="S439" s="629"/>
      <c r="T439" s="629"/>
      <c r="U439" s="629"/>
      <c r="V439" s="629"/>
      <c r="W439" s="629"/>
      <c r="X439" s="629"/>
      <c r="Y439" s="629"/>
      <c r="Z439" s="629"/>
      <c r="AA439" s="629"/>
      <c r="AB439" s="629"/>
      <c r="AC439" s="629"/>
      <c r="AD439" s="629"/>
      <c r="AE439" s="629"/>
    </row>
    <row r="440" spans="1:31" s="628" customFormat="1" ht="13" x14ac:dyDescent="0.3">
      <c r="A440" s="646"/>
      <c r="B440" s="689"/>
      <c r="C440" s="630"/>
      <c r="D440" s="668"/>
      <c r="E440" s="691"/>
      <c r="F440" s="629"/>
      <c r="G440" s="629"/>
      <c r="H440" s="629"/>
      <c r="I440" s="691"/>
      <c r="J440" s="629"/>
      <c r="K440" s="629"/>
      <c r="L440" s="629"/>
      <c r="M440" s="629"/>
      <c r="N440" s="629"/>
      <c r="O440" s="629"/>
      <c r="P440" s="629"/>
      <c r="Q440" s="629"/>
      <c r="R440" s="629"/>
      <c r="S440" s="629"/>
      <c r="T440" s="629"/>
      <c r="U440" s="629"/>
      <c r="V440" s="629"/>
      <c r="W440" s="629"/>
      <c r="X440" s="629"/>
      <c r="Y440" s="629"/>
      <c r="Z440" s="629"/>
      <c r="AA440" s="629"/>
      <c r="AB440" s="629"/>
      <c r="AC440" s="629"/>
      <c r="AD440" s="629"/>
      <c r="AE440" s="629"/>
    </row>
    <row r="441" spans="1:31" s="628" customFormat="1" ht="13" x14ac:dyDescent="0.3">
      <c r="A441" s="646"/>
      <c r="B441" s="689"/>
      <c r="C441" s="630"/>
      <c r="D441" s="668"/>
      <c r="E441" s="691"/>
      <c r="F441" s="629"/>
      <c r="G441" s="629"/>
      <c r="H441" s="629"/>
      <c r="I441" s="691"/>
      <c r="J441" s="629"/>
      <c r="K441" s="629"/>
      <c r="L441" s="629"/>
      <c r="M441" s="629"/>
      <c r="N441" s="629"/>
      <c r="O441" s="629"/>
      <c r="P441" s="629"/>
      <c r="Q441" s="629"/>
      <c r="R441" s="629"/>
      <c r="S441" s="629"/>
      <c r="T441" s="629"/>
      <c r="U441" s="629"/>
      <c r="V441" s="629"/>
      <c r="W441" s="629"/>
      <c r="X441" s="629"/>
      <c r="Y441" s="629"/>
      <c r="Z441" s="629"/>
      <c r="AA441" s="629"/>
      <c r="AB441" s="629"/>
      <c r="AC441" s="629"/>
      <c r="AD441" s="629"/>
      <c r="AE441" s="629"/>
    </row>
    <row r="442" spans="1:31" s="628" customFormat="1" ht="13" x14ac:dyDescent="0.3">
      <c r="A442" s="646"/>
      <c r="B442" s="689"/>
      <c r="C442" s="630"/>
      <c r="D442" s="668"/>
      <c r="E442" s="691"/>
      <c r="F442" s="629"/>
      <c r="G442" s="629"/>
      <c r="H442" s="629"/>
      <c r="I442" s="691"/>
      <c r="J442" s="629"/>
      <c r="K442" s="629"/>
      <c r="L442" s="629"/>
      <c r="M442" s="629"/>
      <c r="N442" s="629"/>
      <c r="O442" s="629"/>
      <c r="P442" s="629"/>
      <c r="Q442" s="629"/>
      <c r="R442" s="629"/>
      <c r="S442" s="629"/>
      <c r="T442" s="629"/>
      <c r="U442" s="629"/>
      <c r="V442" s="629"/>
      <c r="W442" s="629"/>
      <c r="X442" s="629"/>
      <c r="Y442" s="629"/>
      <c r="Z442" s="629"/>
      <c r="AA442" s="629"/>
      <c r="AB442" s="629"/>
      <c r="AC442" s="629"/>
      <c r="AD442" s="629"/>
      <c r="AE442" s="629"/>
    </row>
    <row r="443" spans="1:31" s="628" customFormat="1" ht="13" x14ac:dyDescent="0.3">
      <c r="A443" s="646"/>
      <c r="B443" s="689"/>
      <c r="C443" s="630"/>
      <c r="D443" s="668"/>
      <c r="E443" s="691"/>
      <c r="F443" s="629"/>
      <c r="G443" s="629"/>
      <c r="H443" s="629"/>
      <c r="I443" s="691"/>
      <c r="J443" s="629"/>
      <c r="K443" s="629"/>
      <c r="L443" s="629"/>
      <c r="M443" s="629"/>
      <c r="N443" s="629"/>
      <c r="O443" s="629"/>
      <c r="P443" s="629"/>
      <c r="Q443" s="629"/>
      <c r="R443" s="629"/>
      <c r="S443" s="629"/>
      <c r="T443" s="629"/>
      <c r="U443" s="629"/>
      <c r="V443" s="629"/>
      <c r="W443" s="629"/>
      <c r="X443" s="629"/>
      <c r="Y443" s="629"/>
      <c r="Z443" s="629"/>
      <c r="AA443" s="629"/>
      <c r="AB443" s="629"/>
      <c r="AC443" s="629"/>
      <c r="AD443" s="629"/>
      <c r="AE443" s="629"/>
    </row>
    <row r="444" spans="1:31" s="628" customFormat="1" ht="13" x14ac:dyDescent="0.3">
      <c r="A444" s="646"/>
      <c r="B444" s="689"/>
      <c r="C444" s="630"/>
      <c r="D444" s="668"/>
      <c r="E444" s="691"/>
      <c r="F444" s="629"/>
      <c r="G444" s="629"/>
      <c r="H444" s="629"/>
      <c r="I444" s="691"/>
      <c r="J444" s="629"/>
      <c r="K444" s="629"/>
      <c r="L444" s="629"/>
      <c r="M444" s="629"/>
      <c r="N444" s="629"/>
      <c r="O444" s="629"/>
      <c r="P444" s="629"/>
      <c r="Q444" s="629"/>
      <c r="R444" s="629"/>
      <c r="S444" s="629"/>
      <c r="T444" s="629"/>
      <c r="U444" s="629"/>
      <c r="V444" s="629"/>
      <c r="W444" s="629"/>
      <c r="X444" s="629"/>
      <c r="Y444" s="629"/>
      <c r="Z444" s="629"/>
      <c r="AA444" s="629"/>
      <c r="AB444" s="629"/>
      <c r="AC444" s="629"/>
      <c r="AD444" s="629"/>
      <c r="AE444" s="629"/>
    </row>
    <row r="445" spans="1:31" s="628" customFormat="1" ht="13" x14ac:dyDescent="0.3">
      <c r="A445" s="646"/>
      <c r="B445" s="689"/>
      <c r="C445" s="630"/>
      <c r="D445" s="668"/>
      <c r="E445" s="691"/>
      <c r="F445" s="629"/>
      <c r="G445" s="629"/>
      <c r="H445" s="629"/>
      <c r="I445" s="691"/>
      <c r="J445" s="629"/>
      <c r="K445" s="629"/>
      <c r="L445" s="629"/>
      <c r="M445" s="629"/>
      <c r="N445" s="629"/>
      <c r="O445" s="629"/>
      <c r="P445" s="629"/>
      <c r="Q445" s="629"/>
      <c r="R445" s="629"/>
      <c r="S445" s="629"/>
      <c r="T445" s="629"/>
      <c r="U445" s="629"/>
      <c r="V445" s="629"/>
      <c r="W445" s="629"/>
      <c r="X445" s="629"/>
      <c r="Y445" s="629"/>
      <c r="Z445" s="629"/>
      <c r="AA445" s="629"/>
      <c r="AB445" s="629"/>
      <c r="AC445" s="629"/>
      <c r="AD445" s="629"/>
      <c r="AE445" s="629"/>
    </row>
    <row r="446" spans="1:31" s="628" customFormat="1" ht="13" x14ac:dyDescent="0.3">
      <c r="A446" s="646"/>
      <c r="B446" s="689"/>
      <c r="C446" s="630"/>
      <c r="D446" s="668"/>
      <c r="E446" s="691"/>
      <c r="F446" s="629"/>
      <c r="G446" s="629"/>
      <c r="H446" s="629"/>
      <c r="I446" s="691"/>
      <c r="J446" s="629"/>
      <c r="K446" s="629"/>
      <c r="L446" s="629"/>
      <c r="M446" s="629"/>
      <c r="N446" s="629"/>
      <c r="O446" s="629"/>
      <c r="P446" s="629"/>
      <c r="Q446" s="629"/>
      <c r="R446" s="629"/>
      <c r="S446" s="629"/>
      <c r="T446" s="629"/>
      <c r="U446" s="629"/>
      <c r="V446" s="629"/>
      <c r="W446" s="629"/>
      <c r="X446" s="629"/>
      <c r="Y446" s="629"/>
      <c r="Z446" s="629"/>
      <c r="AA446" s="629"/>
      <c r="AB446" s="629"/>
      <c r="AC446" s="629"/>
      <c r="AD446" s="629"/>
      <c r="AE446" s="629"/>
    </row>
    <row r="447" spans="1:31" s="628" customFormat="1" ht="13" x14ac:dyDescent="0.3">
      <c r="A447" s="646"/>
      <c r="B447" s="689"/>
      <c r="C447" s="630"/>
      <c r="D447" s="668"/>
      <c r="E447" s="691"/>
      <c r="F447" s="629"/>
      <c r="G447" s="629"/>
      <c r="H447" s="629"/>
      <c r="I447" s="691"/>
      <c r="J447" s="629"/>
      <c r="K447" s="629"/>
      <c r="L447" s="629"/>
      <c r="M447" s="629"/>
      <c r="N447" s="629"/>
      <c r="O447" s="629"/>
      <c r="P447" s="629"/>
      <c r="Q447" s="629"/>
      <c r="R447" s="629"/>
      <c r="S447" s="629"/>
      <c r="T447" s="629"/>
      <c r="U447" s="629"/>
      <c r="V447" s="629"/>
      <c r="W447" s="629"/>
      <c r="X447" s="629"/>
      <c r="Y447" s="629"/>
      <c r="Z447" s="629"/>
      <c r="AA447" s="629"/>
      <c r="AB447" s="629"/>
      <c r="AC447" s="629"/>
      <c r="AD447" s="629"/>
      <c r="AE447" s="629"/>
    </row>
    <row r="448" spans="1:31" s="628" customFormat="1" ht="13" x14ac:dyDescent="0.3">
      <c r="A448" s="646"/>
      <c r="B448" s="689"/>
      <c r="C448" s="630"/>
      <c r="D448" s="668"/>
      <c r="E448" s="691"/>
      <c r="F448" s="629"/>
      <c r="G448" s="629"/>
      <c r="H448" s="629"/>
      <c r="I448" s="691"/>
      <c r="J448" s="629"/>
      <c r="K448" s="629"/>
      <c r="L448" s="629"/>
      <c r="M448" s="629"/>
      <c r="N448" s="629"/>
      <c r="O448" s="629"/>
      <c r="P448" s="629"/>
      <c r="Q448" s="629"/>
      <c r="R448" s="629"/>
      <c r="S448" s="629"/>
      <c r="T448" s="629"/>
      <c r="U448" s="629"/>
      <c r="V448" s="629"/>
      <c r="W448" s="629"/>
      <c r="X448" s="629"/>
      <c r="Y448" s="629"/>
      <c r="Z448" s="629"/>
      <c r="AA448" s="629"/>
      <c r="AB448" s="629"/>
      <c r="AC448" s="629"/>
      <c r="AD448" s="629"/>
      <c r="AE448" s="629"/>
    </row>
    <row r="449" spans="1:31" s="628" customFormat="1" ht="13" x14ac:dyDescent="0.3">
      <c r="A449" s="646"/>
      <c r="B449" s="689"/>
      <c r="C449" s="630"/>
      <c r="D449" s="668"/>
      <c r="E449" s="691"/>
      <c r="F449" s="629"/>
      <c r="G449" s="629"/>
      <c r="H449" s="629"/>
      <c r="I449" s="691"/>
      <c r="J449" s="629"/>
      <c r="K449" s="629"/>
      <c r="L449" s="629"/>
      <c r="M449" s="629"/>
      <c r="N449" s="629"/>
      <c r="O449" s="629"/>
      <c r="P449" s="629"/>
      <c r="Q449" s="629"/>
      <c r="R449" s="629"/>
      <c r="S449" s="629"/>
      <c r="T449" s="629"/>
      <c r="U449" s="629"/>
      <c r="V449" s="629"/>
      <c r="W449" s="629"/>
      <c r="X449" s="629"/>
      <c r="Y449" s="629"/>
      <c r="Z449" s="629"/>
      <c r="AA449" s="629"/>
      <c r="AB449" s="629"/>
      <c r="AC449" s="629"/>
      <c r="AD449" s="629"/>
      <c r="AE449" s="629"/>
    </row>
    <row r="450" spans="1:31" s="628" customFormat="1" ht="13" x14ac:dyDescent="0.3">
      <c r="A450" s="646"/>
      <c r="B450" s="689"/>
      <c r="C450" s="630"/>
      <c r="D450" s="668"/>
      <c r="E450" s="691"/>
      <c r="F450" s="629"/>
      <c r="G450" s="629"/>
      <c r="H450" s="629"/>
      <c r="I450" s="691"/>
      <c r="J450" s="629"/>
      <c r="K450" s="629"/>
      <c r="L450" s="629"/>
      <c r="M450" s="629"/>
      <c r="N450" s="629"/>
      <c r="O450" s="629"/>
      <c r="P450" s="629"/>
      <c r="Q450" s="629"/>
      <c r="R450" s="629"/>
      <c r="S450" s="629"/>
      <c r="T450" s="629"/>
      <c r="U450" s="629"/>
      <c r="V450" s="629"/>
      <c r="W450" s="629"/>
      <c r="X450" s="629"/>
      <c r="Y450" s="629"/>
      <c r="Z450" s="629"/>
      <c r="AA450" s="629"/>
      <c r="AB450" s="629"/>
      <c r="AC450" s="629"/>
      <c r="AD450" s="629"/>
      <c r="AE450" s="629"/>
    </row>
    <row r="451" spans="1:31" s="628" customFormat="1" ht="13" x14ac:dyDescent="0.3">
      <c r="A451" s="646"/>
      <c r="B451" s="689"/>
      <c r="C451" s="630"/>
      <c r="D451" s="668"/>
      <c r="E451" s="691"/>
      <c r="F451" s="629"/>
      <c r="G451" s="629"/>
      <c r="H451" s="629"/>
      <c r="I451" s="691"/>
      <c r="J451" s="629"/>
      <c r="K451" s="629"/>
      <c r="L451" s="629"/>
      <c r="M451" s="629"/>
      <c r="N451" s="629"/>
      <c r="O451" s="629"/>
      <c r="P451" s="629"/>
      <c r="Q451" s="629"/>
      <c r="R451" s="629"/>
      <c r="S451" s="629"/>
      <c r="T451" s="629"/>
      <c r="U451" s="629"/>
      <c r="V451" s="629"/>
      <c r="W451" s="629"/>
      <c r="X451" s="629"/>
      <c r="Y451" s="629"/>
      <c r="Z451" s="629"/>
      <c r="AA451" s="629"/>
      <c r="AB451" s="629"/>
      <c r="AC451" s="629"/>
      <c r="AD451" s="629"/>
      <c r="AE451" s="629"/>
    </row>
    <row r="452" spans="1:31" s="628" customFormat="1" ht="13" x14ac:dyDescent="0.3">
      <c r="A452" s="646"/>
      <c r="B452" s="689"/>
      <c r="C452" s="630"/>
      <c r="D452" s="668"/>
      <c r="E452" s="691"/>
      <c r="F452" s="629"/>
      <c r="G452" s="629"/>
      <c r="H452" s="629"/>
      <c r="I452" s="691"/>
      <c r="J452" s="629"/>
      <c r="K452" s="629"/>
      <c r="L452" s="629"/>
      <c r="M452" s="629"/>
      <c r="N452" s="629"/>
      <c r="O452" s="629"/>
      <c r="P452" s="629"/>
      <c r="Q452" s="629"/>
      <c r="R452" s="629"/>
      <c r="S452" s="629"/>
      <c r="T452" s="629"/>
      <c r="U452" s="629"/>
      <c r="V452" s="629"/>
      <c r="W452" s="629"/>
      <c r="X452" s="629"/>
      <c r="Y452" s="629"/>
      <c r="Z452" s="629"/>
      <c r="AA452" s="629"/>
      <c r="AB452" s="629"/>
      <c r="AC452" s="629"/>
      <c r="AD452" s="629"/>
      <c r="AE452" s="629"/>
    </row>
    <row r="453" spans="1:31" s="628" customFormat="1" ht="13" x14ac:dyDescent="0.3">
      <c r="A453" s="646"/>
      <c r="B453" s="689"/>
      <c r="C453" s="630"/>
      <c r="D453" s="668"/>
      <c r="E453" s="691"/>
      <c r="F453" s="629"/>
      <c r="G453" s="629"/>
      <c r="H453" s="629"/>
      <c r="I453" s="691"/>
      <c r="J453" s="629"/>
      <c r="K453" s="629"/>
      <c r="L453" s="629"/>
      <c r="M453" s="629"/>
      <c r="N453" s="629"/>
      <c r="O453" s="629"/>
      <c r="P453" s="629"/>
      <c r="Q453" s="629"/>
      <c r="R453" s="629"/>
      <c r="S453" s="629"/>
      <c r="T453" s="629"/>
      <c r="U453" s="629"/>
      <c r="V453" s="629"/>
      <c r="W453" s="629"/>
      <c r="X453" s="629"/>
      <c r="Y453" s="629"/>
      <c r="Z453" s="629"/>
      <c r="AA453" s="629"/>
      <c r="AB453" s="629"/>
      <c r="AC453" s="629"/>
      <c r="AD453" s="629"/>
      <c r="AE453" s="629"/>
    </row>
    <row r="454" spans="1:31" s="628" customFormat="1" ht="13" x14ac:dyDescent="0.3">
      <c r="A454" s="646"/>
      <c r="B454" s="689"/>
      <c r="C454" s="630"/>
      <c r="D454" s="668"/>
      <c r="E454" s="691"/>
      <c r="F454" s="629"/>
      <c r="G454" s="629"/>
      <c r="H454" s="629"/>
      <c r="I454" s="691"/>
      <c r="J454" s="629"/>
      <c r="K454" s="629"/>
      <c r="L454" s="629"/>
      <c r="M454" s="629"/>
      <c r="N454" s="629"/>
      <c r="O454" s="629"/>
      <c r="P454" s="629"/>
      <c r="Q454" s="629"/>
      <c r="R454" s="629"/>
      <c r="S454" s="629"/>
      <c r="T454" s="629"/>
      <c r="U454" s="629"/>
      <c r="V454" s="629"/>
      <c r="W454" s="629"/>
      <c r="X454" s="629"/>
      <c r="Y454" s="629"/>
      <c r="Z454" s="629"/>
      <c r="AA454" s="629"/>
      <c r="AB454" s="629"/>
      <c r="AC454" s="629"/>
      <c r="AD454" s="629"/>
      <c r="AE454" s="629"/>
    </row>
    <row r="455" spans="1:31" s="628" customFormat="1" ht="13" x14ac:dyDescent="0.3">
      <c r="A455" s="646"/>
      <c r="B455" s="689"/>
      <c r="C455" s="630"/>
      <c r="D455" s="668"/>
      <c r="E455" s="691"/>
      <c r="F455" s="629"/>
      <c r="G455" s="629"/>
      <c r="H455" s="629"/>
      <c r="I455" s="691"/>
      <c r="J455" s="629"/>
      <c r="K455" s="629"/>
      <c r="L455" s="629"/>
      <c r="M455" s="629"/>
      <c r="N455" s="629"/>
      <c r="O455" s="629"/>
      <c r="P455" s="629"/>
      <c r="Q455" s="629"/>
      <c r="R455" s="629"/>
      <c r="S455" s="629"/>
      <c r="T455" s="629"/>
      <c r="U455" s="629"/>
      <c r="V455" s="629"/>
      <c r="W455" s="629"/>
      <c r="X455" s="629"/>
      <c r="Y455" s="629"/>
      <c r="Z455" s="629"/>
      <c r="AA455" s="629"/>
      <c r="AB455" s="629"/>
      <c r="AC455" s="629"/>
      <c r="AD455" s="629"/>
      <c r="AE455" s="629"/>
    </row>
    <row r="456" spans="1:31" s="628" customFormat="1" ht="13" x14ac:dyDescent="0.3">
      <c r="A456" s="646"/>
      <c r="B456" s="689"/>
      <c r="C456" s="630"/>
      <c r="D456" s="668"/>
      <c r="E456" s="691"/>
      <c r="F456" s="629"/>
      <c r="G456" s="629"/>
      <c r="H456" s="629"/>
      <c r="I456" s="691"/>
      <c r="J456" s="629"/>
      <c r="K456" s="629"/>
      <c r="L456" s="629"/>
      <c r="M456" s="629"/>
      <c r="N456" s="629"/>
      <c r="O456" s="629"/>
      <c r="P456" s="629"/>
      <c r="Q456" s="629"/>
      <c r="R456" s="629"/>
      <c r="S456" s="629"/>
      <c r="T456" s="629"/>
      <c r="U456" s="629"/>
      <c r="V456" s="629"/>
      <c r="W456" s="629"/>
      <c r="X456" s="629"/>
      <c r="Y456" s="629"/>
      <c r="Z456" s="629"/>
      <c r="AA456" s="629"/>
      <c r="AB456" s="629"/>
      <c r="AC456" s="629"/>
      <c r="AD456" s="629"/>
      <c r="AE456" s="629"/>
    </row>
    <row r="457" spans="1:31" s="628" customFormat="1" ht="13" x14ac:dyDescent="0.3">
      <c r="A457" s="646"/>
      <c r="B457" s="689"/>
      <c r="C457" s="630"/>
      <c r="D457" s="668"/>
      <c r="E457" s="691"/>
      <c r="F457" s="629"/>
      <c r="G457" s="629"/>
      <c r="H457" s="629"/>
      <c r="I457" s="691"/>
      <c r="J457" s="629"/>
      <c r="K457" s="629"/>
      <c r="L457" s="629"/>
      <c r="M457" s="629"/>
      <c r="N457" s="629"/>
      <c r="O457" s="629"/>
      <c r="P457" s="629"/>
      <c r="Q457" s="629"/>
      <c r="R457" s="629"/>
      <c r="S457" s="629"/>
      <c r="T457" s="629"/>
      <c r="U457" s="629"/>
      <c r="V457" s="629"/>
      <c r="W457" s="629"/>
      <c r="X457" s="629"/>
      <c r="Y457" s="629"/>
      <c r="Z457" s="629"/>
      <c r="AA457" s="629"/>
      <c r="AB457" s="629"/>
      <c r="AC457" s="629"/>
      <c r="AD457" s="629"/>
      <c r="AE457" s="629"/>
    </row>
    <row r="458" spans="1:31" s="628" customFormat="1" ht="13" x14ac:dyDescent="0.3">
      <c r="A458" s="646"/>
      <c r="B458" s="689"/>
      <c r="C458" s="630"/>
      <c r="D458" s="668"/>
      <c r="E458" s="691"/>
      <c r="F458" s="629"/>
      <c r="G458" s="629"/>
      <c r="H458" s="629"/>
      <c r="I458" s="691"/>
      <c r="J458" s="629"/>
      <c r="K458" s="629"/>
      <c r="L458" s="629"/>
      <c r="M458" s="629"/>
      <c r="N458" s="629"/>
      <c r="O458" s="629"/>
      <c r="P458" s="629"/>
      <c r="Q458" s="629"/>
      <c r="R458" s="629"/>
      <c r="S458" s="629"/>
      <c r="T458" s="629"/>
      <c r="U458" s="629"/>
      <c r="V458" s="629"/>
      <c r="W458" s="629"/>
      <c r="X458" s="629"/>
      <c r="Y458" s="629"/>
      <c r="Z458" s="629"/>
      <c r="AA458" s="629"/>
      <c r="AB458" s="629"/>
      <c r="AC458" s="629"/>
      <c r="AD458" s="629"/>
      <c r="AE458" s="629"/>
    </row>
    <row r="459" spans="1:31" s="628" customFormat="1" ht="13" x14ac:dyDescent="0.3">
      <c r="A459" s="646"/>
      <c r="B459" s="689"/>
      <c r="C459" s="630"/>
      <c r="D459" s="668"/>
      <c r="E459" s="691"/>
      <c r="F459" s="629"/>
      <c r="G459" s="629"/>
      <c r="H459" s="629"/>
      <c r="I459" s="691"/>
      <c r="J459" s="629"/>
      <c r="K459" s="629"/>
      <c r="L459" s="629"/>
      <c r="M459" s="629"/>
      <c r="N459" s="629"/>
      <c r="O459" s="629"/>
      <c r="P459" s="629"/>
      <c r="Q459" s="629"/>
      <c r="R459" s="629"/>
      <c r="S459" s="629"/>
      <c r="T459" s="629"/>
      <c r="U459" s="629"/>
      <c r="V459" s="629"/>
      <c r="W459" s="629"/>
      <c r="X459" s="629"/>
      <c r="Y459" s="629"/>
      <c r="Z459" s="629"/>
      <c r="AA459" s="629"/>
      <c r="AB459" s="629"/>
      <c r="AC459" s="629"/>
      <c r="AD459" s="629"/>
      <c r="AE459" s="629"/>
    </row>
    <row r="460" spans="1:31" s="628" customFormat="1" ht="13" x14ac:dyDescent="0.3">
      <c r="A460" s="646"/>
      <c r="B460" s="689"/>
      <c r="C460" s="630"/>
      <c r="D460" s="668"/>
      <c r="E460" s="691"/>
      <c r="F460" s="629"/>
      <c r="G460" s="629"/>
      <c r="H460" s="629"/>
      <c r="I460" s="691"/>
      <c r="J460" s="629"/>
      <c r="K460" s="629"/>
      <c r="L460" s="629"/>
      <c r="M460" s="629"/>
      <c r="N460" s="629"/>
      <c r="O460" s="629"/>
      <c r="P460" s="629"/>
      <c r="Q460" s="629"/>
      <c r="R460" s="629"/>
      <c r="S460" s="629"/>
      <c r="T460" s="629"/>
      <c r="U460" s="629"/>
      <c r="V460" s="629"/>
      <c r="W460" s="629"/>
      <c r="X460" s="629"/>
      <c r="Y460" s="629"/>
      <c r="Z460" s="629"/>
      <c r="AA460" s="629"/>
      <c r="AB460" s="629"/>
      <c r="AC460" s="629"/>
      <c r="AD460" s="629"/>
      <c r="AE460" s="629"/>
    </row>
    <row r="461" spans="1:31" s="628" customFormat="1" ht="13" x14ac:dyDescent="0.3">
      <c r="A461" s="646"/>
      <c r="B461" s="689"/>
      <c r="C461" s="630"/>
      <c r="D461" s="668"/>
      <c r="E461" s="691"/>
      <c r="F461" s="629"/>
      <c r="G461" s="629"/>
      <c r="H461" s="629"/>
      <c r="I461" s="691"/>
      <c r="J461" s="629"/>
      <c r="K461" s="629"/>
      <c r="L461" s="629"/>
      <c r="M461" s="629"/>
      <c r="N461" s="629"/>
      <c r="O461" s="629"/>
      <c r="P461" s="629"/>
      <c r="Q461" s="629"/>
      <c r="R461" s="629"/>
      <c r="S461" s="629"/>
      <c r="T461" s="629"/>
      <c r="U461" s="629"/>
      <c r="V461" s="629"/>
      <c r="W461" s="629"/>
      <c r="X461" s="629"/>
      <c r="Y461" s="629"/>
      <c r="Z461" s="629"/>
      <c r="AA461" s="629"/>
      <c r="AB461" s="629"/>
      <c r="AC461" s="629"/>
      <c r="AD461" s="629"/>
      <c r="AE461" s="629"/>
    </row>
    <row r="462" spans="1:31" s="628" customFormat="1" ht="13" x14ac:dyDescent="0.3">
      <c r="A462" s="646"/>
      <c r="B462" s="689"/>
      <c r="C462" s="630"/>
      <c r="D462" s="668"/>
      <c r="E462" s="691"/>
      <c r="F462" s="629"/>
      <c r="G462" s="629"/>
      <c r="H462" s="629"/>
      <c r="I462" s="691"/>
      <c r="J462" s="629"/>
      <c r="K462" s="629"/>
      <c r="L462" s="629"/>
      <c r="M462" s="629"/>
      <c r="N462" s="629"/>
      <c r="O462" s="629"/>
      <c r="P462" s="629"/>
      <c r="Q462" s="629"/>
      <c r="R462" s="629"/>
      <c r="S462" s="629"/>
      <c r="T462" s="629"/>
      <c r="U462" s="629"/>
      <c r="V462" s="629"/>
      <c r="W462" s="629"/>
      <c r="X462" s="629"/>
      <c r="Y462" s="629"/>
      <c r="Z462" s="629"/>
      <c r="AA462" s="629"/>
      <c r="AB462" s="629"/>
      <c r="AC462" s="629"/>
      <c r="AD462" s="629"/>
      <c r="AE462" s="629"/>
    </row>
    <row r="463" spans="1:31" s="628" customFormat="1" ht="13" x14ac:dyDescent="0.3">
      <c r="A463" s="646"/>
      <c r="B463" s="689"/>
      <c r="C463" s="630"/>
      <c r="D463" s="668"/>
      <c r="E463" s="691"/>
      <c r="F463" s="629"/>
      <c r="G463" s="629"/>
      <c r="H463" s="629"/>
      <c r="I463" s="691"/>
      <c r="J463" s="629"/>
      <c r="K463" s="629"/>
      <c r="L463" s="629"/>
      <c r="M463" s="629"/>
      <c r="N463" s="629"/>
      <c r="O463" s="629"/>
      <c r="P463" s="629"/>
      <c r="Q463" s="629"/>
      <c r="R463" s="629"/>
      <c r="S463" s="629"/>
      <c r="T463" s="629"/>
      <c r="U463" s="629"/>
      <c r="V463" s="629"/>
      <c r="W463" s="629"/>
      <c r="X463" s="629"/>
      <c r="Y463" s="629"/>
      <c r="Z463" s="629"/>
      <c r="AA463" s="629"/>
      <c r="AB463" s="629"/>
      <c r="AC463" s="629"/>
      <c r="AD463" s="629"/>
      <c r="AE463" s="629"/>
    </row>
    <row r="464" spans="1:31" s="628" customFormat="1" ht="13" x14ac:dyDescent="0.3">
      <c r="A464" s="646"/>
      <c r="B464" s="689"/>
      <c r="C464" s="630"/>
      <c r="D464" s="668"/>
      <c r="E464" s="691"/>
      <c r="F464" s="629"/>
      <c r="G464" s="629"/>
      <c r="H464" s="629"/>
      <c r="I464" s="691"/>
      <c r="J464" s="629"/>
      <c r="K464" s="629"/>
      <c r="L464" s="629"/>
      <c r="M464" s="629"/>
      <c r="N464" s="629"/>
      <c r="O464" s="629"/>
      <c r="P464" s="629"/>
      <c r="Q464" s="629"/>
      <c r="R464" s="629"/>
      <c r="S464" s="629"/>
      <c r="T464" s="629"/>
      <c r="U464" s="629"/>
      <c r="V464" s="629"/>
      <c r="W464" s="629"/>
      <c r="X464" s="629"/>
      <c r="Y464" s="629"/>
      <c r="Z464" s="629"/>
      <c r="AA464" s="629"/>
      <c r="AB464" s="629"/>
      <c r="AC464" s="629"/>
      <c r="AD464" s="629"/>
      <c r="AE464" s="629"/>
    </row>
    <row r="465" spans="1:31" s="628" customFormat="1" ht="13" x14ac:dyDescent="0.3">
      <c r="A465" s="646"/>
      <c r="B465" s="689"/>
      <c r="C465" s="630"/>
      <c r="D465" s="668"/>
      <c r="E465" s="691"/>
      <c r="F465" s="629"/>
      <c r="G465" s="629"/>
      <c r="H465" s="629"/>
      <c r="I465" s="691"/>
      <c r="J465" s="629"/>
      <c r="K465" s="629"/>
      <c r="L465" s="629"/>
      <c r="M465" s="629"/>
      <c r="N465" s="629"/>
      <c r="O465" s="629"/>
      <c r="P465" s="629"/>
      <c r="Q465" s="629"/>
      <c r="R465" s="629"/>
      <c r="S465" s="629"/>
      <c r="T465" s="629"/>
      <c r="U465" s="629"/>
      <c r="V465" s="629"/>
      <c r="W465" s="629"/>
      <c r="X465" s="629"/>
      <c r="Y465" s="629"/>
      <c r="Z465" s="629"/>
      <c r="AA465" s="629"/>
      <c r="AB465" s="629"/>
      <c r="AC465" s="629"/>
      <c r="AD465" s="629"/>
      <c r="AE465" s="629"/>
    </row>
    <row r="466" spans="1:31" s="628" customFormat="1" ht="13" x14ac:dyDescent="0.3">
      <c r="A466" s="646"/>
      <c r="B466" s="689"/>
      <c r="C466" s="630"/>
      <c r="D466" s="668"/>
      <c r="E466" s="691"/>
      <c r="F466" s="629"/>
      <c r="G466" s="629"/>
      <c r="H466" s="629"/>
      <c r="I466" s="691"/>
      <c r="J466" s="629"/>
      <c r="K466" s="629"/>
      <c r="L466" s="629"/>
      <c r="M466" s="629"/>
      <c r="N466" s="629"/>
      <c r="O466" s="629"/>
      <c r="P466" s="629"/>
      <c r="Q466" s="629"/>
      <c r="R466" s="629"/>
      <c r="S466" s="629"/>
      <c r="T466" s="629"/>
      <c r="U466" s="629"/>
      <c r="V466" s="629"/>
      <c r="W466" s="629"/>
      <c r="X466" s="629"/>
      <c r="Y466" s="629"/>
      <c r="Z466" s="629"/>
      <c r="AA466" s="629"/>
      <c r="AB466" s="629"/>
      <c r="AC466" s="629"/>
      <c r="AD466" s="629"/>
      <c r="AE466" s="629"/>
    </row>
    <row r="467" spans="1:31" s="628" customFormat="1" ht="13" x14ac:dyDescent="0.3">
      <c r="A467" s="646"/>
      <c r="B467" s="689"/>
      <c r="C467" s="630"/>
      <c r="D467" s="668"/>
      <c r="E467" s="691"/>
      <c r="F467" s="629"/>
      <c r="G467" s="629"/>
      <c r="H467" s="629"/>
      <c r="I467" s="691"/>
      <c r="J467" s="629"/>
      <c r="K467" s="629"/>
      <c r="L467" s="629"/>
      <c r="M467" s="629"/>
      <c r="N467" s="629"/>
      <c r="O467" s="629"/>
      <c r="P467" s="629"/>
      <c r="Q467" s="629"/>
      <c r="R467" s="629"/>
      <c r="S467" s="629"/>
      <c r="T467" s="629"/>
      <c r="U467" s="629"/>
      <c r="V467" s="629"/>
      <c r="W467" s="629"/>
      <c r="X467" s="629"/>
      <c r="Y467" s="629"/>
      <c r="Z467" s="629"/>
      <c r="AA467" s="629"/>
      <c r="AB467" s="629"/>
      <c r="AC467" s="629"/>
      <c r="AD467" s="629"/>
      <c r="AE467" s="629"/>
    </row>
    <row r="468" spans="1:31" s="628" customFormat="1" ht="13" x14ac:dyDescent="0.3">
      <c r="A468" s="646"/>
      <c r="B468" s="689"/>
      <c r="C468" s="630"/>
      <c r="D468" s="668"/>
      <c r="E468" s="691"/>
      <c r="F468" s="629"/>
      <c r="G468" s="629"/>
      <c r="H468" s="629"/>
      <c r="I468" s="691"/>
      <c r="J468" s="629"/>
      <c r="K468" s="629"/>
      <c r="L468" s="629"/>
      <c r="M468" s="629"/>
      <c r="N468" s="629"/>
      <c r="O468" s="629"/>
      <c r="P468" s="629"/>
      <c r="Q468" s="629"/>
      <c r="R468" s="629"/>
      <c r="S468" s="629"/>
      <c r="T468" s="629"/>
      <c r="U468" s="629"/>
      <c r="V468" s="629"/>
      <c r="W468" s="629"/>
      <c r="X468" s="629"/>
      <c r="Y468" s="629"/>
      <c r="Z468" s="629"/>
      <c r="AA468" s="629"/>
      <c r="AB468" s="629"/>
      <c r="AC468" s="629"/>
      <c r="AD468" s="629"/>
      <c r="AE468" s="629"/>
    </row>
    <row r="469" spans="1:31" s="628" customFormat="1" ht="13" x14ac:dyDescent="0.3">
      <c r="A469" s="646"/>
      <c r="B469" s="689"/>
      <c r="C469" s="630"/>
      <c r="D469" s="668"/>
      <c r="E469" s="691"/>
      <c r="F469" s="629"/>
      <c r="G469" s="629"/>
      <c r="H469" s="629"/>
      <c r="I469" s="691"/>
      <c r="J469" s="629"/>
      <c r="K469" s="629"/>
      <c r="L469" s="629"/>
      <c r="M469" s="629"/>
      <c r="N469" s="629"/>
      <c r="O469" s="629"/>
      <c r="P469" s="629"/>
      <c r="Q469" s="629"/>
      <c r="R469" s="629"/>
      <c r="S469" s="629"/>
      <c r="T469" s="629"/>
      <c r="U469" s="629"/>
      <c r="V469" s="629"/>
      <c r="W469" s="629"/>
      <c r="X469" s="629"/>
      <c r="Y469" s="629"/>
      <c r="Z469" s="629"/>
      <c r="AA469" s="629"/>
      <c r="AB469" s="629"/>
      <c r="AC469" s="629"/>
      <c r="AD469" s="629"/>
      <c r="AE469" s="629"/>
    </row>
    <row r="470" spans="1:31" s="628" customFormat="1" ht="13" x14ac:dyDescent="0.3">
      <c r="A470" s="646"/>
      <c r="B470" s="689"/>
      <c r="C470" s="630"/>
      <c r="D470" s="668"/>
      <c r="E470" s="691"/>
      <c r="F470" s="629"/>
      <c r="G470" s="629"/>
      <c r="H470" s="629"/>
      <c r="I470" s="691"/>
      <c r="J470" s="629"/>
      <c r="K470" s="629"/>
      <c r="L470" s="629"/>
      <c r="M470" s="629"/>
      <c r="N470" s="629"/>
      <c r="O470" s="629"/>
      <c r="P470" s="629"/>
      <c r="Q470" s="629"/>
      <c r="R470" s="629"/>
      <c r="S470" s="629"/>
      <c r="T470" s="629"/>
      <c r="U470" s="629"/>
      <c r="V470" s="629"/>
      <c r="W470" s="629"/>
      <c r="X470" s="629"/>
      <c r="Y470" s="629"/>
      <c r="Z470" s="629"/>
      <c r="AA470" s="629"/>
      <c r="AB470" s="629"/>
      <c r="AC470" s="629"/>
      <c r="AD470" s="629"/>
      <c r="AE470" s="629"/>
    </row>
    <row r="471" spans="1:31" s="628" customFormat="1" ht="13" x14ac:dyDescent="0.3">
      <c r="A471" s="646"/>
      <c r="B471" s="689"/>
      <c r="C471" s="630"/>
      <c r="D471" s="668"/>
      <c r="E471" s="691"/>
      <c r="F471" s="629"/>
      <c r="G471" s="629"/>
      <c r="H471" s="629"/>
      <c r="I471" s="691"/>
      <c r="J471" s="629"/>
      <c r="K471" s="629"/>
      <c r="L471" s="629"/>
      <c r="M471" s="629"/>
      <c r="N471" s="629"/>
      <c r="O471" s="629"/>
      <c r="P471" s="629"/>
      <c r="Q471" s="629"/>
      <c r="R471" s="629"/>
      <c r="S471" s="629"/>
      <c r="T471" s="629"/>
      <c r="U471" s="629"/>
      <c r="V471" s="629"/>
      <c r="W471" s="629"/>
      <c r="X471" s="629"/>
      <c r="Y471" s="629"/>
      <c r="Z471" s="629"/>
      <c r="AA471" s="629"/>
      <c r="AB471" s="629"/>
      <c r="AC471" s="629"/>
      <c r="AD471" s="629"/>
      <c r="AE471" s="629"/>
    </row>
    <row r="472" spans="1:31" s="628" customFormat="1" ht="13" x14ac:dyDescent="0.3">
      <c r="A472" s="646"/>
      <c r="B472" s="689"/>
      <c r="C472" s="630"/>
      <c r="D472" s="668"/>
      <c r="E472" s="691"/>
      <c r="F472" s="629"/>
      <c r="G472" s="629"/>
      <c r="H472" s="629"/>
      <c r="I472" s="691"/>
      <c r="J472" s="629"/>
      <c r="K472" s="629"/>
      <c r="L472" s="629"/>
      <c r="M472" s="629"/>
      <c r="N472" s="629"/>
      <c r="O472" s="629"/>
      <c r="P472" s="629"/>
      <c r="Q472" s="629"/>
      <c r="R472" s="629"/>
      <c r="S472" s="629"/>
      <c r="T472" s="629"/>
      <c r="U472" s="629"/>
      <c r="V472" s="629"/>
      <c r="W472" s="629"/>
      <c r="X472" s="629"/>
      <c r="Y472" s="629"/>
      <c r="Z472" s="629"/>
      <c r="AA472" s="629"/>
      <c r="AB472" s="629"/>
      <c r="AC472" s="629"/>
      <c r="AD472" s="629"/>
      <c r="AE472" s="629"/>
    </row>
    <row r="473" spans="1:31" s="628" customFormat="1" ht="13" x14ac:dyDescent="0.3">
      <c r="A473" s="646"/>
      <c r="B473" s="689"/>
      <c r="C473" s="630"/>
      <c r="D473" s="668"/>
      <c r="E473" s="691"/>
      <c r="F473" s="629"/>
      <c r="G473" s="629"/>
      <c r="H473" s="629"/>
      <c r="I473" s="691"/>
      <c r="J473" s="629"/>
      <c r="K473" s="629"/>
      <c r="L473" s="629"/>
      <c r="M473" s="629"/>
      <c r="N473" s="629"/>
      <c r="O473" s="629"/>
      <c r="P473" s="629"/>
      <c r="Q473" s="629"/>
      <c r="R473" s="629"/>
      <c r="S473" s="629"/>
      <c r="T473" s="629"/>
      <c r="U473" s="629"/>
      <c r="V473" s="629"/>
      <c r="W473" s="629"/>
      <c r="X473" s="629"/>
      <c r="Y473" s="629"/>
      <c r="Z473" s="629"/>
      <c r="AA473" s="629"/>
      <c r="AB473" s="629"/>
      <c r="AC473" s="629"/>
      <c r="AD473" s="629"/>
      <c r="AE473" s="629"/>
    </row>
    <row r="474" spans="1:31" s="628" customFormat="1" ht="13" x14ac:dyDescent="0.3">
      <c r="A474" s="646"/>
      <c r="B474" s="689"/>
      <c r="C474" s="630"/>
      <c r="D474" s="668"/>
      <c r="E474" s="691"/>
      <c r="F474" s="629"/>
      <c r="G474" s="629"/>
      <c r="H474" s="629"/>
      <c r="I474" s="691"/>
      <c r="J474" s="629"/>
      <c r="K474" s="629"/>
      <c r="L474" s="629"/>
      <c r="M474" s="629"/>
      <c r="N474" s="629"/>
      <c r="O474" s="629"/>
      <c r="P474" s="629"/>
      <c r="Q474" s="629"/>
      <c r="R474" s="629"/>
      <c r="S474" s="629"/>
      <c r="T474" s="629"/>
      <c r="U474" s="629"/>
      <c r="V474" s="629"/>
      <c r="W474" s="629"/>
      <c r="X474" s="629"/>
      <c r="Y474" s="629"/>
      <c r="Z474" s="629"/>
      <c r="AA474" s="629"/>
      <c r="AB474" s="629"/>
      <c r="AC474" s="629"/>
      <c r="AD474" s="629"/>
      <c r="AE474" s="629"/>
    </row>
    <row r="475" spans="1:31" s="628" customFormat="1" ht="13" x14ac:dyDescent="0.3">
      <c r="A475" s="646"/>
      <c r="B475" s="689"/>
      <c r="C475" s="630"/>
      <c r="D475" s="668"/>
      <c r="E475" s="691"/>
      <c r="F475" s="629"/>
      <c r="G475" s="629"/>
      <c r="H475" s="629"/>
      <c r="I475" s="691"/>
      <c r="J475" s="629"/>
      <c r="K475" s="629"/>
      <c r="L475" s="629"/>
      <c r="M475" s="629"/>
      <c r="N475" s="629"/>
      <c r="O475" s="629"/>
      <c r="P475" s="629"/>
      <c r="Q475" s="629"/>
      <c r="R475" s="629"/>
      <c r="S475" s="629"/>
      <c r="T475" s="629"/>
      <c r="U475" s="629"/>
      <c r="V475" s="629"/>
      <c r="W475" s="629"/>
      <c r="X475" s="629"/>
      <c r="Y475" s="629"/>
      <c r="Z475" s="629"/>
      <c r="AA475" s="629"/>
      <c r="AB475" s="629"/>
      <c r="AC475" s="629"/>
      <c r="AD475" s="629"/>
      <c r="AE475" s="629"/>
    </row>
    <row r="476" spans="1:31" s="628" customFormat="1" ht="13" x14ac:dyDescent="0.3">
      <c r="A476" s="646"/>
      <c r="B476" s="689"/>
      <c r="C476" s="630"/>
      <c r="D476" s="668"/>
      <c r="E476" s="691"/>
      <c r="F476" s="629"/>
      <c r="G476" s="629"/>
      <c r="H476" s="629"/>
      <c r="I476" s="691"/>
      <c r="J476" s="629"/>
      <c r="K476" s="629"/>
      <c r="L476" s="629"/>
      <c r="M476" s="629"/>
      <c r="N476" s="629"/>
      <c r="O476" s="629"/>
      <c r="P476" s="629"/>
      <c r="Q476" s="629"/>
      <c r="R476" s="629"/>
      <c r="S476" s="629"/>
      <c r="T476" s="629"/>
      <c r="U476" s="629"/>
      <c r="V476" s="629"/>
      <c r="W476" s="629"/>
      <c r="X476" s="629"/>
      <c r="Y476" s="629"/>
      <c r="Z476" s="629"/>
      <c r="AA476" s="629"/>
      <c r="AB476" s="629"/>
      <c r="AC476" s="629"/>
      <c r="AD476" s="629"/>
      <c r="AE476" s="629"/>
    </row>
    <row r="477" spans="1:31" s="628" customFormat="1" ht="13" x14ac:dyDescent="0.3">
      <c r="A477" s="646"/>
      <c r="B477" s="689"/>
      <c r="C477" s="630"/>
      <c r="D477" s="668"/>
      <c r="E477" s="691"/>
      <c r="F477" s="629"/>
      <c r="G477" s="629"/>
      <c r="H477" s="629"/>
      <c r="I477" s="691"/>
      <c r="J477" s="629"/>
      <c r="K477" s="629"/>
      <c r="L477" s="629"/>
      <c r="M477" s="629"/>
      <c r="N477" s="629"/>
      <c r="O477" s="629"/>
      <c r="P477" s="629"/>
      <c r="Q477" s="629"/>
      <c r="R477" s="629"/>
      <c r="S477" s="629"/>
      <c r="T477" s="629"/>
      <c r="U477" s="629"/>
      <c r="V477" s="629"/>
      <c r="W477" s="629"/>
      <c r="X477" s="629"/>
      <c r="Y477" s="629"/>
      <c r="Z477" s="629"/>
      <c r="AA477" s="629"/>
      <c r="AB477" s="629"/>
      <c r="AC477" s="629"/>
      <c r="AD477" s="629"/>
      <c r="AE477" s="629"/>
    </row>
    <row r="478" spans="1:31" s="628" customFormat="1" ht="13" x14ac:dyDescent="0.3">
      <c r="A478" s="646"/>
      <c r="B478" s="689"/>
      <c r="C478" s="630"/>
      <c r="D478" s="668"/>
      <c r="E478" s="691"/>
      <c r="F478" s="629"/>
      <c r="G478" s="629"/>
      <c r="H478" s="629"/>
      <c r="I478" s="691"/>
      <c r="J478" s="629"/>
      <c r="K478" s="629"/>
      <c r="L478" s="629"/>
      <c r="M478" s="629"/>
      <c r="N478" s="629"/>
      <c r="O478" s="629"/>
      <c r="P478" s="629"/>
      <c r="Q478" s="629"/>
      <c r="R478" s="629"/>
      <c r="S478" s="629"/>
      <c r="T478" s="629"/>
      <c r="U478" s="629"/>
      <c r="V478" s="629"/>
      <c r="W478" s="629"/>
      <c r="X478" s="629"/>
      <c r="Y478" s="629"/>
      <c r="Z478" s="629"/>
      <c r="AA478" s="629"/>
      <c r="AB478" s="629"/>
      <c r="AC478" s="629"/>
      <c r="AD478" s="629"/>
      <c r="AE478" s="629"/>
    </row>
    <row r="479" spans="1:31" s="628" customFormat="1" ht="13" x14ac:dyDescent="0.3">
      <c r="A479" s="646"/>
      <c r="B479" s="689"/>
      <c r="C479" s="630"/>
      <c r="D479" s="668"/>
      <c r="E479" s="691"/>
      <c r="F479" s="629"/>
      <c r="G479" s="629"/>
      <c r="H479" s="629"/>
      <c r="I479" s="691"/>
      <c r="J479" s="629"/>
      <c r="K479" s="629"/>
      <c r="L479" s="629"/>
      <c r="M479" s="629"/>
      <c r="N479" s="629"/>
      <c r="O479" s="629"/>
      <c r="P479" s="629"/>
      <c r="Q479" s="629"/>
      <c r="R479" s="629"/>
      <c r="S479" s="629"/>
      <c r="T479" s="629"/>
      <c r="U479" s="629"/>
      <c r="V479" s="629"/>
      <c r="W479" s="629"/>
      <c r="X479" s="629"/>
      <c r="Y479" s="629"/>
      <c r="Z479" s="629"/>
      <c r="AA479" s="629"/>
      <c r="AB479" s="629"/>
      <c r="AC479" s="629"/>
      <c r="AD479" s="629"/>
      <c r="AE479" s="629"/>
    </row>
    <row r="480" spans="1:31" s="628" customFormat="1" ht="13" x14ac:dyDescent="0.3">
      <c r="A480" s="646"/>
      <c r="B480" s="689"/>
      <c r="C480" s="630"/>
      <c r="D480" s="668"/>
      <c r="E480" s="691"/>
      <c r="F480" s="629"/>
      <c r="G480" s="629"/>
      <c r="H480" s="629"/>
      <c r="I480" s="691"/>
      <c r="J480" s="629"/>
      <c r="K480" s="629"/>
      <c r="L480" s="629"/>
      <c r="M480" s="629"/>
      <c r="N480" s="629"/>
      <c r="O480" s="629"/>
      <c r="P480" s="629"/>
      <c r="Q480" s="629"/>
      <c r="R480" s="629"/>
      <c r="S480" s="629"/>
      <c r="T480" s="629"/>
      <c r="U480" s="629"/>
      <c r="V480" s="629"/>
      <c r="W480" s="629"/>
      <c r="X480" s="629"/>
      <c r="Y480" s="629"/>
      <c r="Z480" s="629"/>
      <c r="AA480" s="629"/>
      <c r="AB480" s="629"/>
      <c r="AC480" s="629"/>
      <c r="AD480" s="629"/>
      <c r="AE480" s="629"/>
    </row>
    <row r="481" spans="1:31" s="628" customFormat="1" ht="13" x14ac:dyDescent="0.3">
      <c r="A481" s="646"/>
      <c r="B481" s="689"/>
      <c r="C481" s="630"/>
      <c r="D481" s="668"/>
      <c r="E481" s="691"/>
      <c r="F481" s="629"/>
      <c r="G481" s="629"/>
      <c r="H481" s="629"/>
      <c r="I481" s="691"/>
      <c r="J481" s="629"/>
      <c r="K481" s="629"/>
      <c r="L481" s="629"/>
      <c r="M481" s="629"/>
      <c r="N481" s="629"/>
      <c r="O481" s="629"/>
      <c r="P481" s="629"/>
      <c r="Q481" s="629"/>
      <c r="R481" s="629"/>
      <c r="S481" s="629"/>
      <c r="T481" s="629"/>
      <c r="U481" s="629"/>
      <c r="V481" s="629"/>
      <c r="W481" s="629"/>
      <c r="X481" s="629"/>
      <c r="Y481" s="629"/>
      <c r="Z481" s="629"/>
      <c r="AA481" s="629"/>
      <c r="AB481" s="629"/>
      <c r="AC481" s="629"/>
      <c r="AD481" s="629"/>
      <c r="AE481" s="629"/>
    </row>
    <row r="482" spans="1:31" s="628" customFormat="1" ht="13" x14ac:dyDescent="0.3">
      <c r="A482" s="646"/>
      <c r="B482" s="689"/>
      <c r="C482" s="630"/>
      <c r="D482" s="668"/>
      <c r="E482" s="691"/>
      <c r="F482" s="629"/>
      <c r="G482" s="629"/>
      <c r="H482" s="629"/>
      <c r="I482" s="691"/>
      <c r="J482" s="629"/>
      <c r="K482" s="629"/>
      <c r="L482" s="629"/>
      <c r="M482" s="629"/>
      <c r="N482" s="629"/>
      <c r="O482" s="629"/>
      <c r="P482" s="629"/>
      <c r="Q482" s="629"/>
      <c r="R482" s="629"/>
      <c r="S482" s="629"/>
      <c r="T482" s="629"/>
      <c r="U482" s="629"/>
      <c r="V482" s="629"/>
      <c r="W482" s="629"/>
      <c r="X482" s="629"/>
      <c r="Y482" s="629"/>
      <c r="Z482" s="629"/>
      <c r="AA482" s="629"/>
      <c r="AB482" s="629"/>
      <c r="AC482" s="629"/>
      <c r="AD482" s="629"/>
      <c r="AE482" s="629"/>
    </row>
    <row r="483" spans="1:31" s="628" customFormat="1" ht="13" x14ac:dyDescent="0.3">
      <c r="A483" s="646"/>
      <c r="B483" s="689"/>
      <c r="C483" s="630"/>
      <c r="D483" s="668"/>
      <c r="E483" s="691"/>
      <c r="F483" s="629"/>
      <c r="G483" s="629"/>
      <c r="H483" s="629"/>
      <c r="I483" s="691"/>
      <c r="J483" s="629"/>
      <c r="K483" s="629"/>
      <c r="L483" s="629"/>
      <c r="M483" s="629"/>
      <c r="N483" s="629"/>
      <c r="O483" s="629"/>
      <c r="P483" s="629"/>
      <c r="Q483" s="629"/>
      <c r="R483" s="629"/>
      <c r="S483" s="629"/>
      <c r="T483" s="629"/>
      <c r="U483" s="629"/>
      <c r="V483" s="629"/>
      <c r="W483" s="629"/>
      <c r="X483" s="629"/>
      <c r="Y483" s="629"/>
      <c r="Z483" s="629"/>
      <c r="AA483" s="629"/>
      <c r="AB483" s="629"/>
      <c r="AC483" s="629"/>
      <c r="AD483" s="629"/>
      <c r="AE483" s="629"/>
    </row>
    <row r="484" spans="1:31" s="628" customFormat="1" ht="13" x14ac:dyDescent="0.3">
      <c r="A484" s="646"/>
      <c r="B484" s="689"/>
      <c r="C484" s="630"/>
      <c r="D484" s="668"/>
      <c r="E484" s="691"/>
      <c r="F484" s="629"/>
      <c r="G484" s="629"/>
      <c r="H484" s="629"/>
      <c r="I484" s="691"/>
      <c r="J484" s="629"/>
      <c r="K484" s="629"/>
      <c r="L484" s="629"/>
      <c r="M484" s="629"/>
      <c r="N484" s="629"/>
      <c r="O484" s="629"/>
      <c r="P484" s="629"/>
      <c r="Q484" s="629"/>
      <c r="R484" s="629"/>
      <c r="S484" s="629"/>
      <c r="T484" s="629"/>
      <c r="U484" s="629"/>
      <c r="V484" s="629"/>
      <c r="W484" s="629"/>
      <c r="X484" s="629"/>
      <c r="Y484" s="629"/>
      <c r="Z484" s="629"/>
      <c r="AA484" s="629"/>
      <c r="AB484" s="629"/>
      <c r="AC484" s="629"/>
      <c r="AD484" s="629"/>
      <c r="AE484" s="629"/>
    </row>
    <row r="485" spans="1:31" s="628" customFormat="1" ht="13" x14ac:dyDescent="0.3">
      <c r="A485" s="646"/>
      <c r="B485" s="689"/>
      <c r="C485" s="630"/>
      <c r="D485" s="668"/>
      <c r="E485" s="691"/>
      <c r="F485" s="629"/>
      <c r="G485" s="629"/>
      <c r="H485" s="629"/>
      <c r="I485" s="691"/>
      <c r="J485" s="629"/>
      <c r="K485" s="629"/>
      <c r="L485" s="629"/>
      <c r="M485" s="629"/>
      <c r="N485" s="629"/>
      <c r="O485" s="629"/>
      <c r="P485" s="629"/>
      <c r="Q485" s="629"/>
      <c r="R485" s="629"/>
      <c r="S485" s="629"/>
      <c r="T485" s="629"/>
      <c r="U485" s="629"/>
      <c r="V485" s="629"/>
      <c r="W485" s="629"/>
      <c r="X485" s="629"/>
      <c r="Y485" s="629"/>
      <c r="Z485" s="629"/>
      <c r="AA485" s="629"/>
      <c r="AB485" s="629"/>
      <c r="AC485" s="629"/>
      <c r="AD485" s="629"/>
      <c r="AE485" s="629"/>
    </row>
    <row r="486" spans="1:31" s="628" customFormat="1" ht="13" x14ac:dyDescent="0.3">
      <c r="A486" s="646"/>
      <c r="B486" s="689"/>
      <c r="C486" s="630"/>
      <c r="D486" s="668"/>
      <c r="E486" s="691"/>
      <c r="F486" s="629"/>
      <c r="G486" s="629"/>
      <c r="H486" s="629"/>
      <c r="I486" s="691"/>
      <c r="J486" s="629"/>
      <c r="K486" s="629"/>
      <c r="L486" s="629"/>
      <c r="M486" s="629"/>
      <c r="N486" s="629"/>
      <c r="O486" s="629"/>
      <c r="P486" s="629"/>
      <c r="Q486" s="629"/>
      <c r="R486" s="629"/>
      <c r="S486" s="629"/>
      <c r="T486" s="629"/>
      <c r="U486" s="629"/>
      <c r="V486" s="629"/>
      <c r="W486" s="629"/>
      <c r="X486" s="629"/>
      <c r="Y486" s="629"/>
      <c r="Z486" s="629"/>
      <c r="AA486" s="629"/>
      <c r="AB486" s="629"/>
      <c r="AC486" s="629"/>
      <c r="AD486" s="629"/>
      <c r="AE486" s="629"/>
    </row>
    <row r="487" spans="1:31" s="628" customFormat="1" ht="13" x14ac:dyDescent="0.3">
      <c r="A487" s="646"/>
      <c r="B487" s="689"/>
      <c r="C487" s="630"/>
      <c r="D487" s="668"/>
      <c r="E487" s="691"/>
      <c r="F487" s="629"/>
      <c r="G487" s="629"/>
      <c r="H487" s="629"/>
      <c r="I487" s="691"/>
      <c r="J487" s="629"/>
      <c r="K487" s="629"/>
      <c r="L487" s="629"/>
      <c r="M487" s="629"/>
      <c r="N487" s="629"/>
      <c r="O487" s="629"/>
      <c r="P487" s="629"/>
      <c r="Q487" s="629"/>
      <c r="R487" s="629"/>
      <c r="S487" s="629"/>
      <c r="T487" s="629"/>
      <c r="U487" s="629"/>
      <c r="V487" s="629"/>
      <c r="W487" s="629"/>
      <c r="X487" s="629"/>
      <c r="Y487" s="629"/>
      <c r="Z487" s="629"/>
      <c r="AA487" s="629"/>
      <c r="AB487" s="629"/>
      <c r="AC487" s="629"/>
      <c r="AD487" s="629"/>
      <c r="AE487" s="629"/>
    </row>
    <row r="488" spans="1:31" s="628" customFormat="1" ht="13" x14ac:dyDescent="0.3">
      <c r="A488" s="646"/>
      <c r="B488" s="689"/>
      <c r="C488" s="630"/>
      <c r="D488" s="668"/>
      <c r="E488" s="691"/>
      <c r="F488" s="629"/>
      <c r="G488" s="629"/>
      <c r="H488" s="629"/>
      <c r="I488" s="691"/>
      <c r="J488" s="629"/>
      <c r="K488" s="629"/>
      <c r="L488" s="629"/>
      <c r="M488" s="629"/>
      <c r="N488" s="629"/>
      <c r="O488" s="629"/>
      <c r="P488" s="629"/>
      <c r="Q488" s="629"/>
      <c r="R488" s="629"/>
      <c r="S488" s="629"/>
      <c r="T488" s="629"/>
      <c r="U488" s="629"/>
      <c r="V488" s="629"/>
      <c r="W488" s="629"/>
      <c r="X488" s="629"/>
      <c r="Y488" s="629"/>
      <c r="Z488" s="629"/>
      <c r="AA488" s="629"/>
      <c r="AB488" s="629"/>
      <c r="AC488" s="629"/>
      <c r="AD488" s="629"/>
      <c r="AE488" s="629"/>
    </row>
    <row r="489" spans="1:31" s="628" customFormat="1" ht="13" x14ac:dyDescent="0.3">
      <c r="A489" s="646"/>
      <c r="B489" s="689"/>
      <c r="C489" s="630"/>
      <c r="D489" s="668"/>
      <c r="E489" s="691"/>
      <c r="F489" s="629"/>
      <c r="G489" s="629"/>
      <c r="H489" s="629"/>
      <c r="I489" s="691"/>
      <c r="J489" s="629"/>
      <c r="K489" s="629"/>
      <c r="L489" s="629"/>
      <c r="M489" s="629"/>
      <c r="N489" s="629"/>
      <c r="O489" s="629"/>
      <c r="P489" s="629"/>
      <c r="Q489" s="629"/>
      <c r="R489" s="629"/>
      <c r="S489" s="629"/>
      <c r="T489" s="629"/>
      <c r="U489" s="629"/>
      <c r="V489" s="629"/>
      <c r="W489" s="629"/>
      <c r="X489" s="629"/>
      <c r="Y489" s="629"/>
      <c r="Z489" s="629"/>
      <c r="AA489" s="629"/>
      <c r="AB489" s="629"/>
      <c r="AC489" s="629"/>
      <c r="AD489" s="629"/>
      <c r="AE489" s="629"/>
    </row>
    <row r="490" spans="1:31" s="628" customFormat="1" ht="13" x14ac:dyDescent="0.3">
      <c r="A490" s="646"/>
      <c r="B490" s="689"/>
      <c r="C490" s="630"/>
      <c r="D490" s="668"/>
      <c r="E490" s="691"/>
      <c r="F490" s="629"/>
      <c r="G490" s="629"/>
      <c r="H490" s="629"/>
      <c r="I490" s="691"/>
      <c r="J490" s="629"/>
      <c r="K490" s="629"/>
      <c r="L490" s="629"/>
      <c r="M490" s="629"/>
      <c r="N490" s="629"/>
      <c r="O490" s="629"/>
      <c r="P490" s="629"/>
      <c r="Q490" s="629"/>
      <c r="R490" s="629"/>
      <c r="S490" s="629"/>
      <c r="T490" s="629"/>
      <c r="U490" s="629"/>
      <c r="V490" s="629"/>
      <c r="W490" s="629"/>
      <c r="X490" s="629"/>
      <c r="Y490" s="629"/>
      <c r="Z490" s="629"/>
      <c r="AA490" s="629"/>
      <c r="AB490" s="629"/>
      <c r="AC490" s="629"/>
      <c r="AD490" s="629"/>
      <c r="AE490" s="629"/>
    </row>
    <row r="491" spans="1:31" s="628" customFormat="1" ht="13" x14ac:dyDescent="0.3">
      <c r="A491" s="646"/>
      <c r="B491" s="689"/>
      <c r="C491" s="630"/>
      <c r="D491" s="668"/>
      <c r="E491" s="691"/>
      <c r="F491" s="629"/>
      <c r="G491" s="629"/>
      <c r="H491" s="629"/>
      <c r="I491" s="691"/>
      <c r="J491" s="629"/>
      <c r="K491" s="629"/>
      <c r="L491" s="629"/>
      <c r="M491" s="629"/>
      <c r="N491" s="629"/>
      <c r="O491" s="629"/>
      <c r="P491" s="629"/>
      <c r="Q491" s="629"/>
      <c r="R491" s="629"/>
      <c r="S491" s="629"/>
      <c r="T491" s="629"/>
      <c r="U491" s="629"/>
      <c r="V491" s="629"/>
      <c r="W491" s="629"/>
      <c r="X491" s="629"/>
      <c r="Y491" s="629"/>
      <c r="Z491" s="629"/>
      <c r="AA491" s="629"/>
      <c r="AB491" s="629"/>
      <c r="AC491" s="629"/>
      <c r="AD491" s="629"/>
      <c r="AE491" s="629"/>
    </row>
    <row r="492" spans="1:31" s="628" customFormat="1" ht="13" x14ac:dyDescent="0.3">
      <c r="A492" s="646"/>
      <c r="B492" s="689"/>
      <c r="C492" s="630"/>
      <c r="D492" s="668"/>
      <c r="E492" s="691"/>
      <c r="F492" s="629"/>
      <c r="G492" s="629"/>
      <c r="H492" s="629"/>
      <c r="I492" s="691"/>
      <c r="J492" s="629"/>
      <c r="K492" s="629"/>
      <c r="L492" s="629"/>
      <c r="M492" s="629"/>
      <c r="N492" s="629"/>
      <c r="O492" s="629"/>
      <c r="P492" s="629"/>
      <c r="Q492" s="629"/>
      <c r="R492" s="629"/>
      <c r="S492" s="629"/>
      <c r="T492" s="629"/>
      <c r="U492" s="629"/>
      <c r="V492" s="629"/>
      <c r="W492" s="629"/>
      <c r="X492" s="629"/>
      <c r="Y492" s="629"/>
      <c r="Z492" s="629"/>
      <c r="AA492" s="629"/>
      <c r="AB492" s="629"/>
      <c r="AC492" s="629"/>
      <c r="AD492" s="629"/>
      <c r="AE492" s="629"/>
    </row>
    <row r="493" spans="1:31" s="628" customFormat="1" ht="13" x14ac:dyDescent="0.3">
      <c r="A493" s="646"/>
      <c r="B493" s="689"/>
      <c r="C493" s="630"/>
      <c r="D493" s="668"/>
      <c r="E493" s="691"/>
      <c r="F493" s="629"/>
      <c r="G493" s="629"/>
      <c r="H493" s="629"/>
      <c r="I493" s="691"/>
      <c r="J493" s="629"/>
      <c r="K493" s="629"/>
      <c r="L493" s="629"/>
      <c r="M493" s="629"/>
      <c r="N493" s="629"/>
      <c r="O493" s="629"/>
      <c r="P493" s="629"/>
      <c r="Q493" s="629"/>
      <c r="R493" s="629"/>
      <c r="S493" s="629"/>
      <c r="T493" s="629"/>
      <c r="U493" s="629"/>
      <c r="V493" s="629"/>
      <c r="W493" s="629"/>
      <c r="X493" s="629"/>
      <c r="Y493" s="629"/>
      <c r="Z493" s="629"/>
      <c r="AA493" s="629"/>
      <c r="AB493" s="629"/>
      <c r="AC493" s="629"/>
      <c r="AD493" s="629"/>
      <c r="AE493" s="629"/>
    </row>
    <row r="494" spans="1:31" s="628" customFormat="1" ht="13" x14ac:dyDescent="0.3">
      <c r="A494" s="646"/>
      <c r="B494" s="689"/>
      <c r="C494" s="630"/>
      <c r="D494" s="668"/>
      <c r="E494" s="691"/>
      <c r="F494" s="629"/>
      <c r="G494" s="629"/>
      <c r="H494" s="629"/>
      <c r="I494" s="691"/>
      <c r="J494" s="629"/>
      <c r="K494" s="629"/>
      <c r="L494" s="629"/>
      <c r="M494" s="629"/>
      <c r="N494" s="629"/>
      <c r="O494" s="629"/>
      <c r="P494" s="629"/>
      <c r="Q494" s="629"/>
      <c r="R494" s="629"/>
      <c r="S494" s="629"/>
      <c r="T494" s="629"/>
      <c r="U494" s="629"/>
      <c r="V494" s="629"/>
      <c r="W494" s="629"/>
      <c r="X494" s="629"/>
      <c r="Y494" s="629"/>
      <c r="Z494" s="629"/>
      <c r="AA494" s="629"/>
      <c r="AB494" s="629"/>
      <c r="AC494" s="629"/>
      <c r="AD494" s="629"/>
      <c r="AE494" s="629"/>
    </row>
    <row r="495" spans="1:31" s="628" customFormat="1" ht="13" x14ac:dyDescent="0.3">
      <c r="A495" s="646"/>
      <c r="B495" s="689"/>
      <c r="C495" s="630"/>
      <c r="D495" s="668"/>
      <c r="E495" s="691"/>
      <c r="F495" s="629"/>
      <c r="G495" s="629"/>
      <c r="H495" s="629"/>
      <c r="I495" s="691"/>
      <c r="J495" s="629"/>
      <c r="K495" s="629"/>
      <c r="L495" s="629"/>
      <c r="M495" s="629"/>
      <c r="N495" s="629"/>
      <c r="O495" s="629"/>
      <c r="P495" s="629"/>
      <c r="Q495" s="629"/>
      <c r="R495" s="629"/>
      <c r="S495" s="629"/>
      <c r="T495" s="629"/>
      <c r="U495" s="629"/>
      <c r="V495" s="629"/>
      <c r="W495" s="629"/>
      <c r="X495" s="629"/>
      <c r="Y495" s="629"/>
      <c r="Z495" s="629"/>
      <c r="AA495" s="629"/>
      <c r="AB495" s="629"/>
      <c r="AC495" s="629"/>
      <c r="AD495" s="629"/>
      <c r="AE495" s="629"/>
    </row>
    <row r="496" spans="1:31" s="628" customFormat="1" ht="13" x14ac:dyDescent="0.3">
      <c r="A496" s="646"/>
      <c r="B496" s="689"/>
      <c r="C496" s="630"/>
      <c r="D496" s="668"/>
      <c r="E496" s="691"/>
      <c r="F496" s="629"/>
      <c r="G496" s="629"/>
      <c r="H496" s="629"/>
      <c r="I496" s="691"/>
      <c r="J496" s="629"/>
      <c r="K496" s="629"/>
      <c r="L496" s="629"/>
      <c r="M496" s="629"/>
      <c r="N496" s="629"/>
      <c r="O496" s="629"/>
      <c r="P496" s="629"/>
      <c r="Q496" s="629"/>
      <c r="R496" s="629"/>
      <c r="S496" s="629"/>
      <c r="T496" s="629"/>
      <c r="U496" s="629"/>
      <c r="V496" s="629"/>
      <c r="W496" s="629"/>
      <c r="X496" s="629"/>
      <c r="Y496" s="629"/>
      <c r="Z496" s="629"/>
      <c r="AA496" s="629"/>
      <c r="AB496" s="629"/>
      <c r="AC496" s="629"/>
      <c r="AD496" s="629"/>
      <c r="AE496" s="629"/>
    </row>
    <row r="497" spans="1:31" s="628" customFormat="1" ht="13" x14ac:dyDescent="0.3">
      <c r="A497" s="646"/>
      <c r="B497" s="689"/>
      <c r="C497" s="630"/>
      <c r="D497" s="668"/>
      <c r="E497" s="691"/>
      <c r="F497" s="629"/>
      <c r="G497" s="629"/>
      <c r="H497" s="629"/>
      <c r="I497" s="691"/>
      <c r="J497" s="629"/>
      <c r="K497" s="629"/>
      <c r="L497" s="629"/>
      <c r="M497" s="629"/>
      <c r="N497" s="629"/>
      <c r="O497" s="629"/>
      <c r="P497" s="629"/>
      <c r="Q497" s="629"/>
      <c r="R497" s="629"/>
      <c r="S497" s="629"/>
      <c r="T497" s="629"/>
      <c r="U497" s="629"/>
      <c r="V497" s="629"/>
      <c r="W497" s="629"/>
      <c r="X497" s="629"/>
      <c r="Y497" s="629"/>
      <c r="Z497" s="629"/>
      <c r="AA497" s="629"/>
      <c r="AB497" s="629"/>
      <c r="AC497" s="629"/>
      <c r="AD497" s="629"/>
      <c r="AE497" s="629"/>
    </row>
    <row r="498" spans="1:31" s="628" customFormat="1" ht="13" x14ac:dyDescent="0.3">
      <c r="A498" s="646"/>
      <c r="B498" s="689"/>
      <c r="C498" s="630"/>
      <c r="D498" s="668"/>
      <c r="E498" s="691"/>
      <c r="F498" s="629"/>
      <c r="G498" s="629"/>
      <c r="H498" s="629"/>
      <c r="I498" s="691"/>
      <c r="J498" s="629"/>
      <c r="K498" s="629"/>
      <c r="L498" s="629"/>
      <c r="M498" s="629"/>
      <c r="N498" s="629"/>
      <c r="O498" s="629"/>
      <c r="P498" s="629"/>
      <c r="Q498" s="629"/>
      <c r="R498" s="629"/>
      <c r="S498" s="629"/>
      <c r="T498" s="629"/>
      <c r="U498" s="629"/>
      <c r="V498" s="629"/>
      <c r="W498" s="629"/>
      <c r="X498" s="629"/>
      <c r="Y498" s="629"/>
      <c r="Z498" s="629"/>
      <c r="AA498" s="629"/>
      <c r="AB498" s="629"/>
      <c r="AC498" s="629"/>
      <c r="AD498" s="629"/>
      <c r="AE498" s="629"/>
    </row>
    <row r="499" spans="1:31" s="628" customFormat="1" ht="13" x14ac:dyDescent="0.3">
      <c r="A499" s="646"/>
      <c r="B499" s="689"/>
      <c r="C499" s="630"/>
      <c r="D499" s="668"/>
      <c r="E499" s="691"/>
      <c r="F499" s="629"/>
      <c r="G499" s="629"/>
      <c r="H499" s="629"/>
      <c r="I499" s="691"/>
      <c r="J499" s="629"/>
      <c r="K499" s="629"/>
      <c r="L499" s="629"/>
      <c r="M499" s="629"/>
      <c r="N499" s="629"/>
      <c r="O499" s="629"/>
      <c r="P499" s="629"/>
      <c r="Q499" s="629"/>
      <c r="R499" s="629"/>
      <c r="S499" s="629"/>
      <c r="T499" s="629"/>
      <c r="U499" s="629"/>
      <c r="V499" s="629"/>
      <c r="W499" s="629"/>
      <c r="X499" s="629"/>
      <c r="Y499" s="629"/>
      <c r="Z499" s="629"/>
      <c r="AA499" s="629"/>
      <c r="AB499" s="629"/>
      <c r="AC499" s="629"/>
      <c r="AD499" s="629"/>
      <c r="AE499" s="629"/>
    </row>
    <row r="500" spans="1:31" s="628" customFormat="1" ht="13" x14ac:dyDescent="0.3">
      <c r="A500" s="646"/>
      <c r="B500" s="689"/>
      <c r="C500" s="630"/>
      <c r="D500" s="668"/>
      <c r="E500" s="691"/>
      <c r="F500" s="629"/>
      <c r="G500" s="629"/>
      <c r="H500" s="629"/>
      <c r="I500" s="691"/>
      <c r="J500" s="629"/>
      <c r="K500" s="629"/>
      <c r="L500" s="629"/>
      <c r="M500" s="629"/>
      <c r="N500" s="629"/>
      <c r="O500" s="629"/>
      <c r="P500" s="629"/>
      <c r="Q500" s="629"/>
      <c r="R500" s="629"/>
      <c r="S500" s="629"/>
      <c r="T500" s="629"/>
      <c r="U500" s="629"/>
      <c r="V500" s="629"/>
      <c r="W500" s="629"/>
      <c r="X500" s="629"/>
      <c r="Y500" s="629"/>
      <c r="Z500" s="629"/>
      <c r="AA500" s="629"/>
      <c r="AB500" s="629"/>
      <c r="AC500" s="629"/>
      <c r="AD500" s="629"/>
      <c r="AE500" s="629"/>
    </row>
    <row r="501" spans="1:31" s="628" customFormat="1" ht="13" x14ac:dyDescent="0.3">
      <c r="A501" s="646"/>
      <c r="B501" s="689"/>
      <c r="C501" s="630"/>
      <c r="D501" s="668"/>
      <c r="E501" s="691"/>
      <c r="F501" s="629"/>
      <c r="G501" s="629"/>
      <c r="H501" s="629"/>
      <c r="I501" s="691"/>
      <c r="J501" s="629"/>
      <c r="K501" s="629"/>
      <c r="L501" s="629"/>
      <c r="M501" s="629"/>
      <c r="N501" s="629"/>
      <c r="O501" s="629"/>
      <c r="P501" s="629"/>
      <c r="Q501" s="629"/>
      <c r="R501" s="629"/>
      <c r="S501" s="629"/>
      <c r="T501" s="629"/>
      <c r="U501" s="629"/>
      <c r="V501" s="629"/>
      <c r="W501" s="629"/>
      <c r="X501" s="629"/>
      <c r="Y501" s="629"/>
      <c r="Z501" s="629"/>
      <c r="AA501" s="629"/>
      <c r="AB501" s="629"/>
      <c r="AC501" s="629"/>
      <c r="AD501" s="629"/>
      <c r="AE501" s="629"/>
    </row>
    <row r="502" spans="1:31" s="628" customFormat="1" ht="13" x14ac:dyDescent="0.3">
      <c r="A502" s="646"/>
      <c r="B502" s="689"/>
      <c r="C502" s="630"/>
      <c r="D502" s="668"/>
      <c r="E502" s="691"/>
      <c r="F502" s="629"/>
      <c r="G502" s="629"/>
      <c r="H502" s="629"/>
      <c r="I502" s="691"/>
      <c r="J502" s="629"/>
      <c r="K502" s="629"/>
      <c r="L502" s="629"/>
      <c r="M502" s="629"/>
      <c r="N502" s="629"/>
      <c r="O502" s="629"/>
      <c r="P502" s="629"/>
      <c r="Q502" s="629"/>
      <c r="R502" s="629"/>
      <c r="S502" s="629"/>
      <c r="T502" s="629"/>
      <c r="U502" s="629"/>
      <c r="V502" s="629"/>
      <c r="W502" s="629"/>
      <c r="X502" s="629"/>
      <c r="Y502" s="629"/>
      <c r="Z502" s="629"/>
      <c r="AA502" s="629"/>
      <c r="AB502" s="629"/>
      <c r="AC502" s="629"/>
      <c r="AD502" s="629"/>
      <c r="AE502" s="629"/>
    </row>
    <row r="503" spans="1:31" s="628" customFormat="1" ht="13" x14ac:dyDescent="0.3">
      <c r="A503" s="646"/>
      <c r="B503" s="689"/>
      <c r="C503" s="630"/>
      <c r="D503" s="668"/>
      <c r="E503" s="691"/>
      <c r="F503" s="629"/>
      <c r="G503" s="629"/>
      <c r="H503" s="629"/>
      <c r="I503" s="691"/>
      <c r="J503" s="629"/>
      <c r="K503" s="629"/>
      <c r="L503" s="629"/>
      <c r="M503" s="629"/>
      <c r="N503" s="629"/>
      <c r="O503" s="629"/>
      <c r="P503" s="629"/>
      <c r="Q503" s="629"/>
      <c r="R503" s="629"/>
      <c r="S503" s="629"/>
      <c r="T503" s="629"/>
      <c r="U503" s="629"/>
      <c r="V503" s="629"/>
      <c r="W503" s="629"/>
      <c r="X503" s="629"/>
      <c r="Y503" s="629"/>
      <c r="Z503" s="629"/>
      <c r="AA503" s="629"/>
      <c r="AB503" s="629"/>
      <c r="AC503" s="629"/>
      <c r="AD503" s="629"/>
      <c r="AE503" s="629"/>
    </row>
    <row r="504" spans="1:31" s="628" customFormat="1" ht="13" x14ac:dyDescent="0.3">
      <c r="A504" s="646"/>
      <c r="B504" s="689"/>
      <c r="C504" s="630"/>
      <c r="D504" s="668"/>
      <c r="E504" s="691"/>
      <c r="F504" s="629"/>
      <c r="G504" s="629"/>
      <c r="H504" s="629"/>
      <c r="I504" s="691"/>
      <c r="J504" s="629"/>
      <c r="K504" s="629"/>
      <c r="L504" s="629"/>
      <c r="M504" s="629"/>
      <c r="N504" s="629"/>
      <c r="O504" s="629"/>
      <c r="P504" s="629"/>
      <c r="Q504" s="629"/>
      <c r="R504" s="629"/>
      <c r="S504" s="629"/>
      <c r="T504" s="629"/>
      <c r="U504" s="629"/>
      <c r="V504" s="629"/>
      <c r="W504" s="629"/>
      <c r="X504" s="629"/>
      <c r="Y504" s="629"/>
      <c r="Z504" s="629"/>
      <c r="AA504" s="629"/>
      <c r="AB504" s="629"/>
      <c r="AC504" s="629"/>
      <c r="AD504" s="629"/>
      <c r="AE504" s="629"/>
    </row>
    <row r="505" spans="1:31" s="628" customFormat="1" ht="13" x14ac:dyDescent="0.3">
      <c r="A505" s="646"/>
      <c r="B505" s="689"/>
      <c r="C505" s="630"/>
      <c r="D505" s="668"/>
      <c r="E505" s="691"/>
      <c r="F505" s="629"/>
      <c r="G505" s="629"/>
      <c r="H505" s="629"/>
      <c r="I505" s="691"/>
      <c r="J505" s="629"/>
      <c r="K505" s="629"/>
      <c r="L505" s="629"/>
      <c r="M505" s="629"/>
      <c r="N505" s="629"/>
      <c r="O505" s="629"/>
      <c r="P505" s="629"/>
      <c r="Q505" s="629"/>
      <c r="R505" s="629"/>
      <c r="S505" s="629"/>
      <c r="T505" s="629"/>
      <c r="U505" s="629"/>
      <c r="V505" s="629"/>
      <c r="W505" s="629"/>
      <c r="X505" s="629"/>
      <c r="Y505" s="629"/>
      <c r="Z505" s="629"/>
      <c r="AA505" s="629"/>
      <c r="AB505" s="629"/>
      <c r="AC505" s="629"/>
      <c r="AD505" s="629"/>
      <c r="AE505" s="629"/>
    </row>
    <row r="506" spans="1:31" s="628" customFormat="1" ht="13" x14ac:dyDescent="0.3">
      <c r="A506" s="646"/>
      <c r="B506" s="689"/>
      <c r="C506" s="630"/>
      <c r="D506" s="668"/>
      <c r="E506" s="691"/>
      <c r="F506" s="629"/>
      <c r="G506" s="629"/>
      <c r="H506" s="629"/>
      <c r="I506" s="691"/>
      <c r="J506" s="629"/>
      <c r="K506" s="629"/>
      <c r="L506" s="629"/>
      <c r="M506" s="629"/>
      <c r="N506" s="629"/>
      <c r="O506" s="629"/>
      <c r="P506" s="629"/>
      <c r="Q506" s="629"/>
      <c r="R506" s="629"/>
      <c r="S506" s="629"/>
      <c r="T506" s="629"/>
      <c r="U506" s="629"/>
      <c r="V506" s="629"/>
      <c r="W506" s="629"/>
      <c r="X506" s="629"/>
      <c r="Y506" s="629"/>
      <c r="Z506" s="629"/>
      <c r="AA506" s="629"/>
      <c r="AB506" s="629"/>
      <c r="AC506" s="629"/>
      <c r="AD506" s="629"/>
      <c r="AE506" s="629"/>
    </row>
    <row r="507" spans="1:31" s="628" customFormat="1" ht="13" x14ac:dyDescent="0.3">
      <c r="A507" s="646"/>
      <c r="B507" s="689"/>
      <c r="C507" s="630"/>
      <c r="D507" s="668"/>
      <c r="E507" s="691"/>
      <c r="F507" s="629"/>
      <c r="G507" s="629"/>
      <c r="H507" s="629"/>
      <c r="I507" s="691"/>
      <c r="J507" s="629"/>
      <c r="K507" s="629"/>
      <c r="L507" s="629"/>
      <c r="M507" s="629"/>
      <c r="N507" s="629"/>
      <c r="O507" s="629"/>
      <c r="P507" s="629"/>
      <c r="Q507" s="629"/>
      <c r="R507" s="629"/>
      <c r="S507" s="629"/>
      <c r="T507" s="629"/>
      <c r="U507" s="629"/>
      <c r="V507" s="629"/>
      <c r="W507" s="629"/>
      <c r="X507" s="629"/>
      <c r="Y507" s="629"/>
      <c r="Z507" s="629"/>
      <c r="AA507" s="629"/>
      <c r="AB507" s="629"/>
      <c r="AC507" s="629"/>
      <c r="AD507" s="629"/>
      <c r="AE507" s="629"/>
    </row>
    <row r="508" spans="1:31" s="628" customFormat="1" ht="13" x14ac:dyDescent="0.3">
      <c r="A508" s="646"/>
      <c r="B508" s="689"/>
      <c r="C508" s="630"/>
      <c r="D508" s="668"/>
      <c r="E508" s="691"/>
      <c r="F508" s="629"/>
      <c r="G508" s="629"/>
      <c r="H508" s="629"/>
      <c r="I508" s="691"/>
      <c r="J508" s="629"/>
      <c r="K508" s="629"/>
      <c r="L508" s="629"/>
      <c r="M508" s="629"/>
      <c r="N508" s="629"/>
      <c r="O508" s="629"/>
      <c r="P508" s="629"/>
      <c r="Q508" s="629"/>
      <c r="R508" s="629"/>
      <c r="S508" s="629"/>
      <c r="T508" s="629"/>
      <c r="U508" s="629"/>
      <c r="V508" s="629"/>
      <c r="W508" s="629"/>
      <c r="X508" s="629"/>
      <c r="Y508" s="629"/>
      <c r="Z508" s="629"/>
      <c r="AA508" s="629"/>
      <c r="AB508" s="629"/>
      <c r="AC508" s="629"/>
      <c r="AD508" s="629"/>
      <c r="AE508" s="629"/>
    </row>
    <row r="509" spans="1:31" s="628" customFormat="1" ht="13" x14ac:dyDescent="0.3">
      <c r="A509" s="646"/>
      <c r="B509" s="689"/>
      <c r="C509" s="630"/>
      <c r="D509" s="668"/>
      <c r="E509" s="691"/>
      <c r="F509" s="629"/>
      <c r="G509" s="629"/>
      <c r="H509" s="629"/>
      <c r="I509" s="691"/>
      <c r="J509" s="629"/>
      <c r="K509" s="629"/>
      <c r="L509" s="629"/>
      <c r="M509" s="629"/>
      <c r="N509" s="629"/>
      <c r="O509" s="629"/>
      <c r="P509" s="629"/>
      <c r="Q509" s="629"/>
      <c r="R509" s="629"/>
      <c r="S509" s="629"/>
      <c r="T509" s="629"/>
      <c r="U509" s="629"/>
      <c r="V509" s="629"/>
      <c r="W509" s="629"/>
      <c r="X509" s="629"/>
      <c r="Y509" s="629"/>
      <c r="Z509" s="629"/>
      <c r="AA509" s="629"/>
      <c r="AB509" s="629"/>
      <c r="AC509" s="629"/>
      <c r="AD509" s="629"/>
      <c r="AE509" s="629"/>
    </row>
    <row r="510" spans="1:31" s="628" customFormat="1" ht="13" x14ac:dyDescent="0.3">
      <c r="A510" s="646"/>
      <c r="B510" s="689"/>
      <c r="C510" s="630"/>
      <c r="D510" s="668"/>
      <c r="E510" s="691"/>
      <c r="F510" s="629"/>
      <c r="G510" s="629"/>
      <c r="H510" s="629"/>
      <c r="I510" s="691"/>
      <c r="J510" s="629"/>
      <c r="K510" s="629"/>
      <c r="L510" s="629"/>
      <c r="M510" s="629"/>
      <c r="N510" s="629"/>
      <c r="O510" s="629"/>
      <c r="P510" s="629"/>
      <c r="Q510" s="629"/>
      <c r="R510" s="629"/>
      <c r="S510" s="629"/>
      <c r="T510" s="629"/>
      <c r="U510" s="629"/>
      <c r="V510" s="629"/>
      <c r="W510" s="629"/>
      <c r="X510" s="629"/>
      <c r="Y510" s="629"/>
      <c r="Z510" s="629"/>
      <c r="AA510" s="629"/>
      <c r="AB510" s="629"/>
      <c r="AC510" s="629"/>
      <c r="AD510" s="629"/>
      <c r="AE510" s="629"/>
    </row>
    <row r="511" spans="1:31" s="628" customFormat="1" ht="13" x14ac:dyDescent="0.3">
      <c r="A511" s="646"/>
      <c r="B511" s="689"/>
      <c r="C511" s="630"/>
      <c r="D511" s="668"/>
      <c r="E511" s="691"/>
      <c r="F511" s="629"/>
      <c r="G511" s="629"/>
      <c r="H511" s="629"/>
      <c r="I511" s="691"/>
      <c r="J511" s="629"/>
      <c r="K511" s="629"/>
      <c r="L511" s="629"/>
      <c r="M511" s="629"/>
      <c r="N511" s="629"/>
      <c r="O511" s="629"/>
      <c r="P511" s="629"/>
      <c r="Q511" s="629"/>
      <c r="R511" s="629"/>
      <c r="S511" s="629"/>
      <c r="T511" s="629"/>
      <c r="U511" s="629"/>
      <c r="V511" s="629"/>
      <c r="W511" s="629"/>
      <c r="X511" s="629"/>
      <c r="Y511" s="629"/>
      <c r="Z511" s="629"/>
      <c r="AA511" s="629"/>
      <c r="AB511" s="629"/>
      <c r="AC511" s="629"/>
      <c r="AD511" s="629"/>
      <c r="AE511" s="629"/>
    </row>
    <row r="512" spans="1:31" s="628" customFormat="1" ht="13" x14ac:dyDescent="0.3">
      <c r="A512" s="646"/>
      <c r="B512" s="689"/>
      <c r="C512" s="630"/>
      <c r="D512" s="668"/>
      <c r="E512" s="691"/>
      <c r="F512" s="629"/>
      <c r="G512" s="629"/>
      <c r="H512" s="629"/>
      <c r="I512" s="691"/>
      <c r="J512" s="629"/>
      <c r="K512" s="629"/>
      <c r="L512" s="629"/>
      <c r="M512" s="629"/>
      <c r="N512" s="629"/>
      <c r="O512" s="629"/>
      <c r="P512" s="629"/>
      <c r="Q512" s="629"/>
      <c r="R512" s="629"/>
      <c r="S512" s="629"/>
      <c r="T512" s="629"/>
      <c r="U512" s="629"/>
      <c r="V512" s="629"/>
      <c r="W512" s="629"/>
      <c r="X512" s="629"/>
      <c r="Y512" s="629"/>
      <c r="Z512" s="629"/>
      <c r="AA512" s="629"/>
      <c r="AB512" s="629"/>
      <c r="AC512" s="629"/>
      <c r="AD512" s="629"/>
      <c r="AE512" s="629"/>
    </row>
    <row r="513" spans="1:31" s="628" customFormat="1" ht="13" x14ac:dyDescent="0.3">
      <c r="A513" s="646"/>
      <c r="B513" s="689"/>
      <c r="C513" s="630"/>
      <c r="D513" s="668"/>
      <c r="E513" s="691"/>
      <c r="F513" s="629"/>
      <c r="G513" s="629"/>
      <c r="H513" s="629"/>
      <c r="I513" s="691"/>
      <c r="J513" s="629"/>
      <c r="K513" s="629"/>
      <c r="L513" s="629"/>
      <c r="M513" s="629"/>
      <c r="N513" s="629"/>
      <c r="O513" s="629"/>
      <c r="P513" s="629"/>
      <c r="Q513" s="629"/>
      <c r="R513" s="629"/>
      <c r="S513" s="629"/>
      <c r="T513" s="629"/>
      <c r="U513" s="629"/>
      <c r="V513" s="629"/>
      <c r="W513" s="629"/>
      <c r="X513" s="629"/>
      <c r="Y513" s="629"/>
      <c r="Z513" s="629"/>
      <c r="AA513" s="629"/>
      <c r="AB513" s="629"/>
      <c r="AC513" s="629"/>
      <c r="AD513" s="629"/>
      <c r="AE513" s="629"/>
    </row>
    <row r="514" spans="1:31" s="628" customFormat="1" ht="13" x14ac:dyDescent="0.3">
      <c r="A514" s="646"/>
      <c r="B514" s="689"/>
      <c r="C514" s="630"/>
      <c r="D514" s="668"/>
      <c r="E514" s="691"/>
      <c r="F514" s="629"/>
      <c r="G514" s="629"/>
      <c r="H514" s="629"/>
      <c r="I514" s="691"/>
      <c r="J514" s="629"/>
      <c r="K514" s="629"/>
      <c r="L514" s="629"/>
      <c r="M514" s="629"/>
      <c r="N514" s="629"/>
      <c r="O514" s="629"/>
      <c r="P514" s="629"/>
      <c r="Q514" s="629"/>
      <c r="R514" s="629"/>
      <c r="S514" s="629"/>
      <c r="T514" s="629"/>
      <c r="U514" s="629"/>
      <c r="V514" s="629"/>
      <c r="W514" s="629"/>
      <c r="X514" s="629"/>
      <c r="Y514" s="629"/>
      <c r="Z514" s="629"/>
      <c r="AA514" s="629"/>
      <c r="AB514" s="629"/>
      <c r="AC514" s="629"/>
      <c r="AD514" s="629"/>
      <c r="AE514" s="629"/>
    </row>
    <row r="515" spans="1:31" s="628" customFormat="1" ht="13" x14ac:dyDescent="0.3">
      <c r="A515" s="646"/>
      <c r="B515" s="689"/>
      <c r="C515" s="630"/>
      <c r="D515" s="668"/>
      <c r="E515" s="691"/>
      <c r="F515" s="629"/>
      <c r="G515" s="629"/>
      <c r="H515" s="629"/>
      <c r="I515" s="691"/>
      <c r="J515" s="629"/>
      <c r="K515" s="629"/>
      <c r="L515" s="629"/>
      <c r="M515" s="629"/>
      <c r="N515" s="629"/>
      <c r="O515" s="629"/>
      <c r="P515" s="629"/>
      <c r="Q515" s="629"/>
      <c r="R515" s="629"/>
      <c r="S515" s="629"/>
      <c r="T515" s="629"/>
      <c r="U515" s="629"/>
      <c r="V515" s="629"/>
      <c r="W515" s="629"/>
      <c r="X515" s="629"/>
      <c r="Y515" s="629"/>
      <c r="Z515" s="629"/>
      <c r="AA515" s="629"/>
      <c r="AB515" s="629"/>
      <c r="AC515" s="629"/>
      <c r="AD515" s="629"/>
      <c r="AE515" s="629"/>
    </row>
    <row r="516" spans="1:31" s="628" customFormat="1" ht="13" x14ac:dyDescent="0.3">
      <c r="A516" s="646"/>
      <c r="B516" s="689"/>
      <c r="C516" s="630"/>
      <c r="D516" s="668"/>
      <c r="E516" s="691"/>
      <c r="F516" s="629"/>
      <c r="G516" s="629"/>
      <c r="H516" s="629"/>
      <c r="I516" s="691"/>
      <c r="J516" s="629"/>
      <c r="K516" s="629"/>
      <c r="L516" s="629"/>
      <c r="M516" s="629"/>
      <c r="N516" s="629"/>
      <c r="O516" s="629"/>
      <c r="P516" s="629"/>
      <c r="Q516" s="629"/>
      <c r="R516" s="629"/>
      <c r="S516" s="629"/>
      <c r="T516" s="629"/>
      <c r="U516" s="629"/>
      <c r="V516" s="629"/>
      <c r="W516" s="629"/>
      <c r="X516" s="629"/>
      <c r="Y516" s="629"/>
      <c r="Z516" s="629"/>
      <c r="AA516" s="629"/>
      <c r="AB516" s="629"/>
      <c r="AC516" s="629"/>
      <c r="AD516" s="629"/>
      <c r="AE516" s="629"/>
    </row>
    <row r="517" spans="1:31" s="628" customFormat="1" ht="13" x14ac:dyDescent="0.3">
      <c r="A517" s="646"/>
      <c r="B517" s="689"/>
      <c r="C517" s="630"/>
      <c r="D517" s="668"/>
      <c r="E517" s="691"/>
      <c r="F517" s="629"/>
      <c r="G517" s="629"/>
      <c r="H517" s="629"/>
      <c r="I517" s="691"/>
      <c r="J517" s="629"/>
      <c r="K517" s="629"/>
      <c r="L517" s="629"/>
      <c r="M517" s="629"/>
      <c r="N517" s="629"/>
      <c r="O517" s="629"/>
      <c r="P517" s="629"/>
      <c r="Q517" s="629"/>
      <c r="R517" s="629"/>
      <c r="S517" s="629"/>
      <c r="T517" s="629"/>
      <c r="U517" s="629"/>
      <c r="V517" s="629"/>
      <c r="W517" s="629"/>
      <c r="X517" s="629"/>
      <c r="Y517" s="629"/>
      <c r="Z517" s="629"/>
      <c r="AA517" s="629"/>
      <c r="AB517" s="629"/>
      <c r="AC517" s="629"/>
      <c r="AD517" s="629"/>
      <c r="AE517" s="629"/>
    </row>
    <row r="518" spans="1:31" s="628" customFormat="1" ht="13" x14ac:dyDescent="0.3">
      <c r="A518" s="646"/>
      <c r="B518" s="689"/>
      <c r="C518" s="630"/>
      <c r="D518" s="668"/>
      <c r="E518" s="691"/>
      <c r="F518" s="629"/>
      <c r="G518" s="629"/>
      <c r="H518" s="629"/>
      <c r="I518" s="691"/>
      <c r="J518" s="629"/>
      <c r="K518" s="629"/>
      <c r="L518" s="629"/>
      <c r="M518" s="629"/>
      <c r="N518" s="629"/>
      <c r="O518" s="629"/>
      <c r="P518" s="629"/>
      <c r="Q518" s="629"/>
      <c r="R518" s="629"/>
      <c r="S518" s="629"/>
      <c r="T518" s="629"/>
      <c r="U518" s="629"/>
      <c r="V518" s="629"/>
      <c r="W518" s="629"/>
      <c r="X518" s="629"/>
      <c r="Y518" s="629"/>
      <c r="Z518" s="629"/>
      <c r="AA518" s="629"/>
      <c r="AB518" s="629"/>
      <c r="AC518" s="629"/>
      <c r="AD518" s="629"/>
      <c r="AE518" s="629"/>
    </row>
    <row r="519" spans="1:31" s="628" customFormat="1" ht="13" x14ac:dyDescent="0.3">
      <c r="A519" s="646"/>
      <c r="B519" s="689"/>
      <c r="C519" s="630"/>
      <c r="D519" s="668"/>
      <c r="E519" s="691"/>
      <c r="F519" s="629"/>
      <c r="G519" s="629"/>
      <c r="H519" s="629"/>
      <c r="I519" s="691"/>
      <c r="J519" s="629"/>
      <c r="K519" s="629"/>
      <c r="L519" s="629"/>
      <c r="M519" s="629"/>
      <c r="N519" s="629"/>
      <c r="O519" s="629"/>
      <c r="P519" s="629"/>
      <c r="Q519" s="629"/>
      <c r="R519" s="629"/>
      <c r="S519" s="629"/>
      <c r="T519" s="629"/>
      <c r="U519" s="629"/>
      <c r="V519" s="629"/>
      <c r="W519" s="629"/>
      <c r="X519" s="629"/>
      <c r="Y519" s="629"/>
      <c r="Z519" s="629"/>
      <c r="AA519" s="629"/>
      <c r="AB519" s="629"/>
      <c r="AC519" s="629"/>
      <c r="AD519" s="629"/>
      <c r="AE519" s="629"/>
    </row>
    <row r="520" spans="1:31" s="628" customFormat="1" ht="13" x14ac:dyDescent="0.3">
      <c r="A520" s="646"/>
      <c r="B520" s="689"/>
      <c r="C520" s="630"/>
      <c r="D520" s="668"/>
      <c r="E520" s="691"/>
      <c r="F520" s="629"/>
      <c r="G520" s="629"/>
      <c r="H520" s="629"/>
      <c r="I520" s="691"/>
      <c r="J520" s="629"/>
      <c r="K520" s="629"/>
      <c r="L520" s="629"/>
      <c r="M520" s="629"/>
      <c r="N520" s="629"/>
      <c r="O520" s="629"/>
      <c r="P520" s="629"/>
      <c r="Q520" s="629"/>
      <c r="R520" s="629"/>
      <c r="S520" s="629"/>
      <c r="T520" s="629"/>
      <c r="U520" s="629"/>
      <c r="V520" s="629"/>
      <c r="W520" s="629"/>
      <c r="X520" s="629"/>
      <c r="Y520" s="629"/>
      <c r="Z520" s="629"/>
      <c r="AA520" s="629"/>
      <c r="AB520" s="629"/>
      <c r="AC520" s="629"/>
      <c r="AD520" s="629"/>
      <c r="AE520" s="629"/>
    </row>
    <row r="521" spans="1:31" s="628" customFormat="1" ht="13" x14ac:dyDescent="0.3">
      <c r="A521" s="646"/>
      <c r="B521" s="689"/>
      <c r="C521" s="630"/>
      <c r="D521" s="668"/>
      <c r="E521" s="691"/>
      <c r="F521" s="629"/>
      <c r="G521" s="629"/>
      <c r="H521" s="629"/>
      <c r="I521" s="691"/>
      <c r="J521" s="629"/>
      <c r="K521" s="629"/>
      <c r="L521" s="629"/>
      <c r="M521" s="629"/>
      <c r="N521" s="629"/>
      <c r="O521" s="629"/>
      <c r="P521" s="629"/>
      <c r="Q521" s="629"/>
      <c r="R521" s="629"/>
      <c r="S521" s="629"/>
      <c r="T521" s="629"/>
      <c r="U521" s="629"/>
      <c r="V521" s="629"/>
      <c r="W521" s="629"/>
      <c r="X521" s="629"/>
      <c r="Y521" s="629"/>
      <c r="Z521" s="629"/>
      <c r="AA521" s="629"/>
      <c r="AB521" s="629"/>
      <c r="AC521" s="629"/>
      <c r="AD521" s="629"/>
      <c r="AE521" s="629"/>
    </row>
    <row r="522" spans="1:31" s="628" customFormat="1" ht="13" x14ac:dyDescent="0.3">
      <c r="A522" s="646"/>
      <c r="B522" s="689"/>
      <c r="C522" s="630"/>
      <c r="D522" s="668"/>
      <c r="E522" s="691"/>
      <c r="F522" s="629"/>
      <c r="G522" s="629"/>
      <c r="H522" s="629"/>
      <c r="I522" s="691"/>
      <c r="J522" s="629"/>
      <c r="K522" s="629"/>
      <c r="L522" s="629"/>
      <c r="M522" s="629"/>
      <c r="N522" s="629"/>
      <c r="O522" s="629"/>
      <c r="P522" s="629"/>
      <c r="Q522" s="629"/>
      <c r="R522" s="629"/>
      <c r="S522" s="629"/>
      <c r="T522" s="629"/>
      <c r="U522" s="629"/>
      <c r="V522" s="629"/>
      <c r="W522" s="629"/>
      <c r="X522" s="629"/>
      <c r="Y522" s="629"/>
      <c r="Z522" s="629"/>
      <c r="AA522" s="629"/>
      <c r="AB522" s="629"/>
      <c r="AC522" s="629"/>
      <c r="AD522" s="629"/>
      <c r="AE522" s="629"/>
    </row>
    <row r="523" spans="1:31" s="628" customFormat="1" ht="13" x14ac:dyDescent="0.3">
      <c r="A523" s="646"/>
      <c r="B523" s="689"/>
      <c r="C523" s="630"/>
      <c r="D523" s="668"/>
      <c r="E523" s="691"/>
      <c r="F523" s="629"/>
      <c r="G523" s="629"/>
      <c r="H523" s="629"/>
      <c r="I523" s="691"/>
      <c r="J523" s="629"/>
      <c r="K523" s="629"/>
      <c r="L523" s="629"/>
      <c r="M523" s="629"/>
      <c r="N523" s="629"/>
      <c r="O523" s="629"/>
      <c r="P523" s="629"/>
      <c r="Q523" s="629"/>
      <c r="R523" s="629"/>
      <c r="S523" s="629"/>
      <c r="T523" s="629"/>
      <c r="U523" s="629"/>
      <c r="V523" s="629"/>
      <c r="W523" s="629"/>
      <c r="X523" s="629"/>
      <c r="Y523" s="629"/>
      <c r="Z523" s="629"/>
      <c r="AA523" s="629"/>
      <c r="AB523" s="629"/>
      <c r="AC523" s="629"/>
      <c r="AD523" s="629"/>
      <c r="AE523" s="629"/>
    </row>
    <row r="524" spans="1:31" s="628" customFormat="1" ht="13" x14ac:dyDescent="0.3">
      <c r="A524" s="646"/>
      <c r="B524" s="689"/>
      <c r="C524" s="630"/>
      <c r="D524" s="668"/>
      <c r="E524" s="691"/>
      <c r="F524" s="629"/>
      <c r="G524" s="629"/>
      <c r="H524" s="629"/>
      <c r="I524" s="691"/>
      <c r="J524" s="629"/>
      <c r="K524" s="629"/>
      <c r="L524" s="629"/>
      <c r="M524" s="629"/>
      <c r="N524" s="629"/>
      <c r="O524" s="629"/>
      <c r="P524" s="629"/>
      <c r="Q524" s="629"/>
      <c r="R524" s="629"/>
      <c r="S524" s="629"/>
      <c r="T524" s="629"/>
      <c r="U524" s="629"/>
      <c r="V524" s="629"/>
      <c r="W524" s="629"/>
      <c r="X524" s="629"/>
      <c r="Y524" s="629"/>
      <c r="Z524" s="629"/>
      <c r="AA524" s="629"/>
      <c r="AB524" s="629"/>
      <c r="AC524" s="629"/>
      <c r="AD524" s="629"/>
      <c r="AE524" s="629"/>
    </row>
    <row r="525" spans="1:31" s="628" customFormat="1" ht="13" x14ac:dyDescent="0.3">
      <c r="A525" s="646"/>
      <c r="B525" s="689"/>
      <c r="C525" s="630"/>
      <c r="D525" s="668"/>
      <c r="E525" s="691"/>
      <c r="F525" s="629"/>
      <c r="G525" s="629"/>
      <c r="H525" s="629"/>
      <c r="I525" s="691"/>
      <c r="J525" s="629"/>
      <c r="K525" s="629"/>
      <c r="L525" s="629"/>
      <c r="M525" s="629"/>
      <c r="N525" s="629"/>
      <c r="O525" s="629"/>
      <c r="P525" s="629"/>
      <c r="Q525" s="629"/>
      <c r="R525" s="629"/>
      <c r="S525" s="629"/>
      <c r="T525" s="629"/>
      <c r="U525" s="629"/>
      <c r="V525" s="629"/>
      <c r="W525" s="629"/>
      <c r="X525" s="629"/>
      <c r="Y525" s="629"/>
      <c r="Z525" s="629"/>
      <c r="AA525" s="629"/>
      <c r="AB525" s="629"/>
      <c r="AC525" s="629"/>
      <c r="AD525" s="629"/>
      <c r="AE525" s="629"/>
    </row>
    <row r="526" spans="1:31" s="628" customFormat="1" ht="13" x14ac:dyDescent="0.3">
      <c r="A526" s="646"/>
      <c r="B526" s="689"/>
      <c r="C526" s="630"/>
      <c r="D526" s="668"/>
      <c r="E526" s="691"/>
      <c r="F526" s="629"/>
      <c r="G526" s="629"/>
      <c r="H526" s="629"/>
      <c r="I526" s="691"/>
      <c r="J526" s="629"/>
      <c r="K526" s="629"/>
      <c r="L526" s="629"/>
      <c r="M526" s="629"/>
      <c r="N526" s="629"/>
      <c r="O526" s="629"/>
      <c r="P526" s="629"/>
      <c r="Q526" s="629"/>
      <c r="R526" s="629"/>
      <c r="S526" s="629"/>
      <c r="T526" s="629"/>
      <c r="U526" s="629"/>
      <c r="V526" s="629"/>
      <c r="W526" s="629"/>
      <c r="X526" s="629"/>
      <c r="Y526" s="629"/>
      <c r="Z526" s="629"/>
      <c r="AA526" s="629"/>
      <c r="AB526" s="629"/>
      <c r="AC526" s="629"/>
      <c r="AD526" s="629"/>
      <c r="AE526" s="629"/>
    </row>
    <row r="527" spans="1:31" s="628" customFormat="1" ht="13" x14ac:dyDescent="0.3">
      <c r="A527" s="646"/>
      <c r="B527" s="689"/>
      <c r="C527" s="630"/>
      <c r="D527" s="668"/>
      <c r="E527" s="691"/>
      <c r="F527" s="629"/>
      <c r="G527" s="629"/>
      <c r="H527" s="629"/>
      <c r="I527" s="691"/>
      <c r="J527" s="629"/>
      <c r="K527" s="629"/>
      <c r="L527" s="629"/>
      <c r="M527" s="629"/>
      <c r="N527" s="629"/>
      <c r="O527" s="629"/>
      <c r="P527" s="629"/>
      <c r="Q527" s="629"/>
      <c r="R527" s="629"/>
      <c r="S527" s="629"/>
      <c r="T527" s="629"/>
      <c r="U527" s="629"/>
      <c r="V527" s="629"/>
      <c r="W527" s="629"/>
      <c r="X527" s="629"/>
      <c r="Y527" s="629"/>
      <c r="Z527" s="629"/>
      <c r="AA527" s="629"/>
      <c r="AB527" s="629"/>
      <c r="AC527" s="629"/>
      <c r="AD527" s="629"/>
      <c r="AE527" s="629"/>
    </row>
    <row r="528" spans="1:31" s="628" customFormat="1" ht="13" x14ac:dyDescent="0.3">
      <c r="A528" s="646"/>
      <c r="B528" s="689"/>
      <c r="C528" s="630"/>
      <c r="D528" s="668"/>
      <c r="E528" s="691"/>
      <c r="F528" s="629"/>
      <c r="G528" s="629"/>
      <c r="H528" s="629"/>
      <c r="I528" s="691"/>
      <c r="J528" s="629"/>
      <c r="K528" s="629"/>
      <c r="L528" s="629"/>
      <c r="M528" s="629"/>
      <c r="N528" s="629"/>
      <c r="O528" s="629"/>
      <c r="P528" s="629"/>
      <c r="Q528" s="629"/>
      <c r="R528" s="629"/>
      <c r="S528" s="629"/>
      <c r="T528" s="629"/>
      <c r="U528" s="629"/>
      <c r="V528" s="629"/>
      <c r="W528" s="629"/>
      <c r="X528" s="629"/>
      <c r="Y528" s="629"/>
      <c r="Z528" s="629"/>
      <c r="AA528" s="629"/>
      <c r="AB528" s="629"/>
      <c r="AC528" s="629"/>
      <c r="AD528" s="629"/>
      <c r="AE528" s="629"/>
    </row>
    <row r="529" spans="1:31" s="628" customFormat="1" ht="13" x14ac:dyDescent="0.3">
      <c r="A529" s="646"/>
      <c r="B529" s="689"/>
      <c r="C529" s="630"/>
      <c r="D529" s="668"/>
      <c r="E529" s="691"/>
      <c r="F529" s="629"/>
      <c r="G529" s="629"/>
      <c r="H529" s="629"/>
      <c r="I529" s="691"/>
      <c r="J529" s="629"/>
      <c r="K529" s="629"/>
      <c r="L529" s="629"/>
      <c r="M529" s="629"/>
      <c r="N529" s="629"/>
      <c r="O529" s="629"/>
      <c r="P529" s="629"/>
      <c r="Q529" s="629"/>
      <c r="R529" s="629"/>
      <c r="S529" s="629"/>
      <c r="T529" s="629"/>
      <c r="U529" s="629"/>
      <c r="V529" s="629"/>
      <c r="W529" s="629"/>
      <c r="X529" s="629"/>
      <c r="Y529" s="629"/>
      <c r="Z529" s="629"/>
      <c r="AA529" s="629"/>
      <c r="AB529" s="629"/>
      <c r="AC529" s="629"/>
      <c r="AD529" s="629"/>
      <c r="AE529" s="629"/>
    </row>
    <row r="530" spans="1:31" s="628" customFormat="1" ht="13" x14ac:dyDescent="0.3">
      <c r="A530" s="646"/>
      <c r="B530" s="689"/>
      <c r="C530" s="630"/>
      <c r="D530" s="668"/>
      <c r="E530" s="691"/>
      <c r="F530" s="629"/>
      <c r="G530" s="629"/>
      <c r="H530" s="629"/>
      <c r="I530" s="691"/>
      <c r="J530" s="629"/>
      <c r="K530" s="629"/>
      <c r="L530" s="629"/>
      <c r="M530" s="629"/>
      <c r="N530" s="629"/>
      <c r="O530" s="629"/>
      <c r="P530" s="629"/>
      <c r="Q530" s="629"/>
      <c r="R530" s="629"/>
      <c r="S530" s="629"/>
      <c r="T530" s="629"/>
      <c r="U530" s="629"/>
      <c r="V530" s="629"/>
      <c r="W530" s="629"/>
      <c r="X530" s="629"/>
      <c r="Y530" s="629"/>
      <c r="Z530" s="629"/>
      <c r="AA530" s="629"/>
      <c r="AB530" s="629"/>
      <c r="AC530" s="629"/>
      <c r="AD530" s="629"/>
      <c r="AE530" s="629"/>
    </row>
    <row r="531" spans="1:31" s="628" customFormat="1" ht="13" x14ac:dyDescent="0.3">
      <c r="A531" s="646"/>
      <c r="B531" s="689"/>
      <c r="C531" s="630"/>
      <c r="D531" s="668"/>
      <c r="E531" s="691"/>
      <c r="F531" s="629"/>
      <c r="G531" s="629"/>
      <c r="H531" s="629"/>
      <c r="I531" s="691"/>
      <c r="J531" s="629"/>
      <c r="K531" s="629"/>
      <c r="L531" s="629"/>
      <c r="M531" s="629"/>
      <c r="N531" s="629"/>
      <c r="O531" s="629"/>
      <c r="P531" s="629"/>
      <c r="Q531" s="629"/>
      <c r="R531" s="629"/>
      <c r="S531" s="629"/>
      <c r="T531" s="629"/>
      <c r="U531" s="629"/>
      <c r="V531" s="629"/>
      <c r="W531" s="629"/>
      <c r="X531" s="629"/>
      <c r="Y531" s="629"/>
      <c r="Z531" s="629"/>
      <c r="AA531" s="629"/>
      <c r="AB531" s="629"/>
      <c r="AC531" s="629"/>
      <c r="AD531" s="629"/>
      <c r="AE531" s="629"/>
    </row>
    <row r="532" spans="1:31" s="628" customFormat="1" ht="13" x14ac:dyDescent="0.3">
      <c r="A532" s="646"/>
      <c r="B532" s="689"/>
      <c r="C532" s="630"/>
      <c r="D532" s="668"/>
      <c r="E532" s="691"/>
      <c r="F532" s="629"/>
      <c r="G532" s="629"/>
      <c r="H532" s="629"/>
      <c r="I532" s="691"/>
      <c r="J532" s="629"/>
      <c r="K532" s="629"/>
      <c r="L532" s="629"/>
      <c r="M532" s="629"/>
      <c r="N532" s="629"/>
      <c r="O532" s="629"/>
      <c r="P532" s="629"/>
      <c r="Q532" s="629"/>
      <c r="R532" s="629"/>
      <c r="S532" s="629"/>
      <c r="T532" s="629"/>
      <c r="U532" s="629"/>
      <c r="V532" s="629"/>
      <c r="W532" s="629"/>
      <c r="X532" s="629"/>
      <c r="Y532" s="629"/>
      <c r="Z532" s="629"/>
      <c r="AA532" s="629"/>
      <c r="AB532" s="629"/>
      <c r="AC532" s="629"/>
      <c r="AD532" s="629"/>
      <c r="AE532" s="629"/>
    </row>
    <row r="533" spans="1:31" s="628" customFormat="1" ht="13" x14ac:dyDescent="0.3">
      <c r="A533" s="646"/>
      <c r="B533" s="689"/>
      <c r="C533" s="630"/>
      <c r="D533" s="668"/>
      <c r="E533" s="691"/>
      <c r="F533" s="629"/>
      <c r="G533" s="629"/>
      <c r="H533" s="629"/>
      <c r="I533" s="691"/>
      <c r="J533" s="629"/>
      <c r="K533" s="629"/>
      <c r="L533" s="629"/>
      <c r="M533" s="629"/>
      <c r="N533" s="629"/>
      <c r="O533" s="629"/>
      <c r="P533" s="629"/>
      <c r="Q533" s="629"/>
      <c r="R533" s="629"/>
      <c r="S533" s="629"/>
      <c r="T533" s="629"/>
      <c r="U533" s="629"/>
      <c r="V533" s="629"/>
      <c r="W533" s="629"/>
      <c r="X533" s="629"/>
      <c r="Y533" s="629"/>
      <c r="Z533" s="629"/>
      <c r="AA533" s="629"/>
      <c r="AB533" s="629"/>
      <c r="AC533" s="629"/>
      <c r="AD533" s="629"/>
      <c r="AE533" s="629"/>
    </row>
    <row r="534" spans="1:31" s="628" customFormat="1" ht="13" x14ac:dyDescent="0.3">
      <c r="A534" s="646"/>
      <c r="B534" s="689"/>
      <c r="C534" s="630"/>
      <c r="D534" s="668"/>
      <c r="E534" s="691"/>
      <c r="F534" s="629"/>
      <c r="G534" s="629"/>
      <c r="H534" s="629"/>
      <c r="I534" s="691"/>
      <c r="J534" s="629"/>
      <c r="K534" s="629"/>
      <c r="L534" s="629"/>
      <c r="M534" s="629"/>
      <c r="N534" s="629"/>
      <c r="O534" s="629"/>
      <c r="P534" s="629"/>
      <c r="Q534" s="629"/>
      <c r="R534" s="629"/>
      <c r="S534" s="629"/>
      <c r="T534" s="629"/>
      <c r="U534" s="629"/>
      <c r="V534" s="629"/>
      <c r="W534" s="629"/>
      <c r="X534" s="629"/>
      <c r="Y534" s="629"/>
      <c r="Z534" s="629"/>
      <c r="AA534" s="629"/>
      <c r="AB534" s="629"/>
      <c r="AC534" s="629"/>
      <c r="AD534" s="629"/>
      <c r="AE534" s="629"/>
    </row>
    <row r="535" spans="1:31" s="628" customFormat="1" ht="13" x14ac:dyDescent="0.3">
      <c r="A535" s="646"/>
      <c r="B535" s="689"/>
      <c r="C535" s="630"/>
      <c r="D535" s="668"/>
      <c r="E535" s="691"/>
      <c r="F535" s="629"/>
      <c r="G535" s="629"/>
      <c r="H535" s="629"/>
      <c r="I535" s="691"/>
      <c r="J535" s="629"/>
      <c r="K535" s="629"/>
      <c r="L535" s="629"/>
      <c r="M535" s="629"/>
      <c r="N535" s="629"/>
      <c r="O535" s="629"/>
      <c r="P535" s="629"/>
      <c r="Q535" s="629"/>
      <c r="R535" s="629"/>
      <c r="S535" s="629"/>
      <c r="T535" s="629"/>
      <c r="U535" s="629"/>
      <c r="V535" s="629"/>
      <c r="W535" s="629"/>
      <c r="X535" s="629"/>
      <c r="Y535" s="629"/>
      <c r="Z535" s="629"/>
      <c r="AA535" s="629"/>
      <c r="AB535" s="629"/>
      <c r="AC535" s="629"/>
      <c r="AD535" s="629"/>
      <c r="AE535" s="629"/>
    </row>
    <row r="536" spans="1:31" s="628" customFormat="1" ht="13" x14ac:dyDescent="0.3">
      <c r="A536" s="646"/>
      <c r="B536" s="689"/>
      <c r="C536" s="630"/>
      <c r="D536" s="668"/>
      <c r="E536" s="691"/>
      <c r="F536" s="629"/>
      <c r="G536" s="629"/>
      <c r="H536" s="629"/>
      <c r="I536" s="691"/>
      <c r="J536" s="629"/>
      <c r="K536" s="629"/>
      <c r="L536" s="629"/>
      <c r="M536" s="629"/>
      <c r="N536" s="629"/>
      <c r="O536" s="629"/>
      <c r="P536" s="629"/>
      <c r="Q536" s="629"/>
      <c r="R536" s="629"/>
      <c r="S536" s="629"/>
      <c r="T536" s="629"/>
      <c r="U536" s="629"/>
      <c r="V536" s="629"/>
      <c r="W536" s="629"/>
      <c r="X536" s="629"/>
      <c r="Y536" s="629"/>
      <c r="Z536" s="629"/>
      <c r="AA536" s="629"/>
      <c r="AB536" s="629"/>
      <c r="AC536" s="629"/>
      <c r="AD536" s="629"/>
      <c r="AE536" s="629"/>
    </row>
    <row r="537" spans="1:31" s="628" customFormat="1" ht="13" x14ac:dyDescent="0.3">
      <c r="A537" s="646"/>
      <c r="B537" s="689"/>
      <c r="C537" s="630"/>
      <c r="D537" s="668"/>
      <c r="E537" s="691"/>
      <c r="F537" s="629"/>
      <c r="G537" s="629"/>
      <c r="H537" s="629"/>
      <c r="I537" s="691"/>
      <c r="J537" s="629"/>
      <c r="K537" s="629"/>
      <c r="L537" s="629"/>
      <c r="M537" s="629"/>
      <c r="N537" s="629"/>
      <c r="O537" s="629"/>
      <c r="P537" s="629"/>
      <c r="Q537" s="629"/>
      <c r="R537" s="629"/>
      <c r="S537" s="629"/>
      <c r="T537" s="629"/>
      <c r="U537" s="629"/>
      <c r="V537" s="629"/>
      <c r="W537" s="629"/>
      <c r="X537" s="629"/>
      <c r="Y537" s="629"/>
      <c r="Z537" s="629"/>
      <c r="AA537" s="629"/>
      <c r="AB537" s="629"/>
      <c r="AC537" s="629"/>
      <c r="AD537" s="629"/>
      <c r="AE537" s="629"/>
    </row>
    <row r="538" spans="1:31" s="628" customFormat="1" ht="13" x14ac:dyDescent="0.3">
      <c r="A538" s="646"/>
      <c r="B538" s="689"/>
      <c r="C538" s="630"/>
      <c r="D538" s="668"/>
      <c r="E538" s="691"/>
      <c r="F538" s="629"/>
      <c r="G538" s="629"/>
      <c r="H538" s="629"/>
      <c r="I538" s="691"/>
      <c r="J538" s="629"/>
      <c r="K538" s="629"/>
      <c r="L538" s="629"/>
      <c r="M538" s="629"/>
      <c r="N538" s="629"/>
      <c r="O538" s="629"/>
      <c r="P538" s="629"/>
      <c r="Q538" s="629"/>
      <c r="R538" s="629"/>
      <c r="S538" s="629"/>
      <c r="T538" s="629"/>
      <c r="U538" s="629"/>
      <c r="V538" s="629"/>
      <c r="W538" s="629"/>
      <c r="X538" s="629"/>
      <c r="Y538" s="629"/>
      <c r="Z538" s="629"/>
      <c r="AA538" s="629"/>
      <c r="AB538" s="629"/>
      <c r="AC538" s="629"/>
      <c r="AD538" s="629"/>
      <c r="AE538" s="629"/>
    </row>
    <row r="539" spans="1:31" s="628" customFormat="1" ht="13" x14ac:dyDescent="0.3">
      <c r="A539" s="646"/>
      <c r="B539" s="689"/>
      <c r="C539" s="630"/>
      <c r="D539" s="668"/>
      <c r="E539" s="691"/>
      <c r="F539" s="629"/>
      <c r="G539" s="629"/>
      <c r="H539" s="629"/>
      <c r="I539" s="691"/>
      <c r="J539" s="629"/>
      <c r="K539" s="629"/>
      <c r="L539" s="629"/>
      <c r="M539" s="629"/>
      <c r="N539" s="629"/>
      <c r="O539" s="629"/>
      <c r="P539" s="629"/>
      <c r="Q539" s="629"/>
      <c r="R539" s="629"/>
      <c r="S539" s="629"/>
      <c r="T539" s="629"/>
      <c r="U539" s="629"/>
      <c r="V539" s="629"/>
      <c r="W539" s="629"/>
      <c r="X539" s="629"/>
      <c r="Y539" s="629"/>
      <c r="Z539" s="629"/>
      <c r="AA539" s="629"/>
      <c r="AB539" s="629"/>
      <c r="AC539" s="629"/>
      <c r="AD539" s="629"/>
      <c r="AE539" s="629"/>
    </row>
    <row r="540" spans="1:31" s="628" customFormat="1" ht="13" x14ac:dyDescent="0.3">
      <c r="A540" s="646"/>
      <c r="B540" s="689"/>
      <c r="C540" s="630"/>
      <c r="D540" s="668"/>
      <c r="E540" s="691"/>
      <c r="F540" s="629"/>
      <c r="G540" s="629"/>
      <c r="H540" s="629"/>
      <c r="I540" s="691"/>
      <c r="J540" s="629"/>
      <c r="K540" s="629"/>
      <c r="L540" s="629"/>
      <c r="M540" s="629"/>
      <c r="N540" s="629"/>
      <c r="O540" s="629"/>
      <c r="P540" s="629"/>
      <c r="Q540" s="629"/>
      <c r="R540" s="629"/>
      <c r="S540" s="629"/>
      <c r="T540" s="629"/>
      <c r="U540" s="629"/>
      <c r="V540" s="629"/>
      <c r="W540" s="629"/>
      <c r="X540" s="629"/>
      <c r="Y540" s="629"/>
      <c r="Z540" s="629"/>
      <c r="AA540" s="629"/>
      <c r="AB540" s="629"/>
      <c r="AC540" s="629"/>
      <c r="AD540" s="629"/>
      <c r="AE540" s="629"/>
    </row>
    <row r="541" spans="1:31" s="628" customFormat="1" ht="13" x14ac:dyDescent="0.3">
      <c r="A541" s="646"/>
      <c r="B541" s="689"/>
      <c r="C541" s="630"/>
      <c r="D541" s="668"/>
      <c r="E541" s="691"/>
      <c r="F541" s="629"/>
      <c r="G541" s="629"/>
      <c r="H541" s="629"/>
      <c r="I541" s="691"/>
      <c r="J541" s="629"/>
      <c r="K541" s="629"/>
      <c r="L541" s="629"/>
      <c r="M541" s="629"/>
      <c r="N541" s="629"/>
      <c r="O541" s="629"/>
      <c r="P541" s="629"/>
      <c r="Q541" s="629"/>
      <c r="R541" s="629"/>
      <c r="S541" s="629"/>
      <c r="T541" s="629"/>
      <c r="U541" s="629"/>
      <c r="V541" s="629"/>
      <c r="W541" s="629"/>
      <c r="X541" s="629"/>
      <c r="Y541" s="629"/>
      <c r="Z541" s="629"/>
      <c r="AA541" s="629"/>
      <c r="AB541" s="629"/>
      <c r="AC541" s="629"/>
      <c r="AD541" s="629"/>
      <c r="AE541" s="629"/>
    </row>
    <row r="542" spans="1:31" s="628" customFormat="1" ht="13" x14ac:dyDescent="0.3">
      <c r="A542" s="646"/>
      <c r="B542" s="689"/>
      <c r="C542" s="630"/>
      <c r="D542" s="668"/>
      <c r="E542" s="691"/>
      <c r="F542" s="629"/>
      <c r="G542" s="629"/>
      <c r="H542" s="629"/>
      <c r="I542" s="691"/>
      <c r="J542" s="629"/>
      <c r="K542" s="629"/>
      <c r="L542" s="629"/>
      <c r="M542" s="629"/>
      <c r="N542" s="629"/>
      <c r="O542" s="629"/>
      <c r="P542" s="629"/>
      <c r="Q542" s="629"/>
      <c r="R542" s="629"/>
      <c r="S542" s="629"/>
      <c r="T542" s="629"/>
      <c r="U542" s="629"/>
      <c r="V542" s="629"/>
      <c r="W542" s="629"/>
      <c r="X542" s="629"/>
      <c r="Y542" s="629"/>
      <c r="Z542" s="629"/>
      <c r="AA542" s="629"/>
      <c r="AB542" s="629"/>
      <c r="AC542" s="629"/>
      <c r="AD542" s="629"/>
      <c r="AE542" s="629"/>
    </row>
    <row r="543" spans="1:31" s="628" customFormat="1" ht="13" x14ac:dyDescent="0.3">
      <c r="A543" s="646"/>
      <c r="B543" s="689"/>
      <c r="C543" s="630"/>
      <c r="D543" s="668"/>
      <c r="E543" s="691"/>
      <c r="F543" s="629"/>
      <c r="G543" s="629"/>
      <c r="H543" s="629"/>
      <c r="I543" s="691"/>
      <c r="J543" s="629"/>
      <c r="K543" s="629"/>
      <c r="L543" s="629"/>
      <c r="M543" s="629"/>
      <c r="N543" s="629"/>
      <c r="O543" s="629"/>
      <c r="P543" s="629"/>
      <c r="Q543" s="629"/>
      <c r="R543" s="629"/>
      <c r="S543" s="629"/>
      <c r="T543" s="629"/>
      <c r="U543" s="629"/>
      <c r="V543" s="629"/>
      <c r="W543" s="629"/>
      <c r="X543" s="629"/>
      <c r="Y543" s="629"/>
      <c r="Z543" s="629"/>
      <c r="AA543" s="629"/>
      <c r="AB543" s="629"/>
      <c r="AC543" s="629"/>
      <c r="AD543" s="629"/>
      <c r="AE543" s="629"/>
    </row>
    <row r="544" spans="1:31" s="628" customFormat="1" ht="13" x14ac:dyDescent="0.3">
      <c r="A544" s="646"/>
      <c r="B544" s="689"/>
      <c r="C544" s="630"/>
      <c r="D544" s="668"/>
      <c r="E544" s="691"/>
      <c r="F544" s="629"/>
      <c r="G544" s="629"/>
      <c r="H544" s="629"/>
      <c r="I544" s="691"/>
      <c r="J544" s="629"/>
      <c r="K544" s="629"/>
      <c r="L544" s="629"/>
      <c r="M544" s="629"/>
      <c r="N544" s="629"/>
      <c r="O544" s="629"/>
      <c r="P544" s="629"/>
      <c r="Q544" s="629"/>
      <c r="R544" s="629"/>
      <c r="S544" s="629"/>
      <c r="T544" s="629"/>
      <c r="U544" s="629"/>
      <c r="V544" s="629"/>
      <c r="W544" s="629"/>
      <c r="X544" s="629"/>
      <c r="Y544" s="629"/>
      <c r="Z544" s="629"/>
      <c r="AA544" s="629"/>
      <c r="AB544" s="629"/>
      <c r="AC544" s="629"/>
      <c r="AD544" s="629"/>
      <c r="AE544" s="629"/>
    </row>
    <row r="545" spans="1:31" s="628" customFormat="1" ht="13" x14ac:dyDescent="0.3">
      <c r="A545" s="646"/>
      <c r="B545" s="689"/>
      <c r="C545" s="630"/>
      <c r="D545" s="668"/>
      <c r="E545" s="691"/>
      <c r="F545" s="629"/>
      <c r="G545" s="629"/>
      <c r="H545" s="629"/>
      <c r="I545" s="691"/>
      <c r="J545" s="629"/>
      <c r="K545" s="629"/>
      <c r="L545" s="629"/>
      <c r="M545" s="629"/>
      <c r="N545" s="629"/>
      <c r="O545" s="629"/>
      <c r="P545" s="629"/>
      <c r="Q545" s="629"/>
      <c r="R545" s="629"/>
      <c r="S545" s="629"/>
      <c r="T545" s="629"/>
      <c r="U545" s="629"/>
      <c r="V545" s="629"/>
      <c r="W545" s="629"/>
      <c r="X545" s="629"/>
      <c r="Y545" s="629"/>
      <c r="Z545" s="629"/>
      <c r="AA545" s="629"/>
      <c r="AB545" s="629"/>
      <c r="AC545" s="629"/>
      <c r="AD545" s="629"/>
      <c r="AE545" s="629"/>
    </row>
    <row r="546" spans="1:31" s="628" customFormat="1" ht="13" x14ac:dyDescent="0.3">
      <c r="A546" s="646"/>
      <c r="B546" s="689"/>
      <c r="C546" s="630"/>
      <c r="D546" s="668"/>
      <c r="E546" s="691"/>
      <c r="F546" s="629"/>
      <c r="G546" s="629"/>
      <c r="H546" s="629"/>
      <c r="I546" s="691"/>
      <c r="J546" s="629"/>
      <c r="K546" s="629"/>
      <c r="L546" s="629"/>
      <c r="M546" s="629"/>
      <c r="N546" s="629"/>
      <c r="O546" s="629"/>
      <c r="P546" s="629"/>
      <c r="Q546" s="629"/>
      <c r="R546" s="629"/>
      <c r="S546" s="629"/>
      <c r="T546" s="629"/>
      <c r="U546" s="629"/>
      <c r="V546" s="629"/>
      <c r="W546" s="629"/>
      <c r="X546" s="629"/>
      <c r="Y546" s="629"/>
      <c r="Z546" s="629"/>
      <c r="AA546" s="629"/>
      <c r="AB546" s="629"/>
      <c r="AC546" s="629"/>
      <c r="AD546" s="629"/>
      <c r="AE546" s="629"/>
    </row>
    <row r="547" spans="1:31" s="628" customFormat="1" ht="13" x14ac:dyDescent="0.3">
      <c r="A547" s="646"/>
      <c r="B547" s="689"/>
      <c r="C547" s="630"/>
      <c r="D547" s="668"/>
      <c r="E547" s="691"/>
      <c r="F547" s="629"/>
      <c r="G547" s="629"/>
      <c r="H547" s="629"/>
      <c r="I547" s="691"/>
      <c r="J547" s="629"/>
      <c r="K547" s="629"/>
      <c r="L547" s="629"/>
      <c r="M547" s="629"/>
      <c r="N547" s="629"/>
      <c r="O547" s="629"/>
      <c r="P547" s="629"/>
      <c r="Q547" s="629"/>
      <c r="R547" s="629"/>
      <c r="S547" s="629"/>
      <c r="T547" s="629"/>
      <c r="U547" s="629"/>
      <c r="V547" s="629"/>
      <c r="W547" s="629"/>
      <c r="X547" s="629"/>
      <c r="Y547" s="629"/>
      <c r="Z547" s="629"/>
      <c r="AA547" s="629"/>
      <c r="AB547" s="629"/>
      <c r="AC547" s="629"/>
      <c r="AD547" s="629"/>
      <c r="AE547" s="629"/>
    </row>
    <row r="548" spans="1:31" s="628" customFormat="1" ht="13" x14ac:dyDescent="0.3">
      <c r="A548" s="646"/>
      <c r="B548" s="689"/>
      <c r="C548" s="630"/>
      <c r="D548" s="668"/>
      <c r="E548" s="691"/>
      <c r="F548" s="629"/>
      <c r="G548" s="629"/>
      <c r="H548" s="629"/>
      <c r="I548" s="691"/>
      <c r="J548" s="629"/>
      <c r="K548" s="629"/>
      <c r="L548" s="629"/>
      <c r="M548" s="629"/>
      <c r="N548" s="629"/>
      <c r="O548" s="629"/>
      <c r="P548" s="629"/>
      <c r="Q548" s="629"/>
      <c r="R548" s="629"/>
      <c r="S548" s="629"/>
      <c r="T548" s="629"/>
      <c r="U548" s="629"/>
      <c r="V548" s="629"/>
      <c r="W548" s="629"/>
      <c r="X548" s="629"/>
      <c r="Y548" s="629"/>
      <c r="Z548" s="629"/>
      <c r="AA548" s="629"/>
      <c r="AB548" s="629"/>
      <c r="AC548" s="629"/>
      <c r="AD548" s="629"/>
      <c r="AE548" s="629"/>
    </row>
    <row r="549" spans="1:31" s="628" customFormat="1" ht="13" x14ac:dyDescent="0.3">
      <c r="A549" s="646"/>
      <c r="B549" s="689"/>
      <c r="C549" s="630"/>
      <c r="D549" s="668"/>
      <c r="E549" s="691"/>
      <c r="F549" s="629"/>
      <c r="G549" s="629"/>
      <c r="H549" s="629"/>
      <c r="I549" s="691"/>
      <c r="J549" s="629"/>
      <c r="K549" s="629"/>
      <c r="L549" s="629"/>
      <c r="M549" s="629"/>
      <c r="N549" s="629"/>
      <c r="O549" s="629"/>
      <c r="P549" s="629"/>
      <c r="Q549" s="629"/>
      <c r="R549" s="629"/>
      <c r="S549" s="629"/>
      <c r="T549" s="629"/>
      <c r="U549" s="629"/>
      <c r="V549" s="629"/>
      <c r="W549" s="629"/>
      <c r="X549" s="629"/>
      <c r="Y549" s="629"/>
      <c r="Z549" s="629"/>
      <c r="AA549" s="629"/>
      <c r="AB549" s="629"/>
      <c r="AC549" s="629"/>
      <c r="AD549" s="629"/>
      <c r="AE549" s="629"/>
    </row>
    <row r="550" spans="1:31" s="628" customFormat="1" ht="13" x14ac:dyDescent="0.3">
      <c r="A550" s="646"/>
      <c r="B550" s="689"/>
      <c r="C550" s="630"/>
      <c r="D550" s="668"/>
      <c r="E550" s="691"/>
      <c r="F550" s="629"/>
      <c r="G550" s="629"/>
      <c r="H550" s="629"/>
      <c r="I550" s="691"/>
      <c r="J550" s="629"/>
      <c r="K550" s="629"/>
      <c r="L550" s="629"/>
      <c r="M550" s="629"/>
      <c r="N550" s="629"/>
      <c r="O550" s="629"/>
      <c r="P550" s="629"/>
      <c r="Q550" s="629"/>
      <c r="R550" s="629"/>
      <c r="S550" s="629"/>
      <c r="T550" s="629"/>
      <c r="U550" s="629"/>
      <c r="V550" s="629"/>
      <c r="W550" s="629"/>
      <c r="X550" s="629"/>
      <c r="Y550" s="629"/>
      <c r="Z550" s="629"/>
      <c r="AA550" s="629"/>
      <c r="AB550" s="629"/>
      <c r="AC550" s="629"/>
      <c r="AD550" s="629"/>
      <c r="AE550" s="629"/>
    </row>
    <row r="551" spans="1:31" s="628" customFormat="1" ht="13" x14ac:dyDescent="0.3">
      <c r="A551" s="646"/>
      <c r="B551" s="689"/>
      <c r="C551" s="630"/>
      <c r="D551" s="668"/>
      <c r="E551" s="691"/>
      <c r="F551" s="629"/>
      <c r="G551" s="629"/>
      <c r="H551" s="629"/>
      <c r="I551" s="691"/>
      <c r="J551" s="629"/>
      <c r="K551" s="629"/>
      <c r="L551" s="629"/>
      <c r="M551" s="629"/>
      <c r="N551" s="629"/>
      <c r="O551" s="629"/>
      <c r="P551" s="629"/>
      <c r="Q551" s="629"/>
      <c r="R551" s="629"/>
      <c r="S551" s="629"/>
      <c r="T551" s="629"/>
      <c r="U551" s="629"/>
      <c r="V551" s="629"/>
      <c r="W551" s="629"/>
      <c r="X551" s="629"/>
      <c r="Y551" s="629"/>
      <c r="Z551" s="629"/>
      <c r="AA551" s="629"/>
      <c r="AB551" s="629"/>
      <c r="AC551" s="629"/>
      <c r="AD551" s="629"/>
      <c r="AE551" s="629"/>
    </row>
    <row r="552" spans="1:31" s="628" customFormat="1" ht="13" x14ac:dyDescent="0.3">
      <c r="A552" s="646"/>
      <c r="B552" s="689"/>
      <c r="C552" s="630"/>
      <c r="D552" s="668"/>
      <c r="E552" s="691"/>
      <c r="F552" s="629"/>
      <c r="G552" s="629"/>
      <c r="H552" s="629"/>
      <c r="I552" s="691"/>
      <c r="J552" s="629"/>
      <c r="K552" s="629"/>
      <c r="L552" s="629"/>
      <c r="M552" s="629"/>
      <c r="N552" s="629"/>
      <c r="O552" s="629"/>
      <c r="P552" s="629"/>
      <c r="Q552" s="629"/>
      <c r="R552" s="629"/>
      <c r="S552" s="629"/>
      <c r="T552" s="629"/>
      <c r="U552" s="629"/>
      <c r="V552" s="629"/>
      <c r="W552" s="629"/>
      <c r="X552" s="629"/>
      <c r="Y552" s="629"/>
      <c r="Z552" s="629"/>
      <c r="AA552" s="629"/>
      <c r="AB552" s="629"/>
      <c r="AC552" s="629"/>
      <c r="AD552" s="629"/>
      <c r="AE552" s="629"/>
    </row>
    <row r="553" spans="1:31" s="628" customFormat="1" ht="13" x14ac:dyDescent="0.3">
      <c r="A553" s="646"/>
      <c r="B553" s="689"/>
      <c r="C553" s="630"/>
      <c r="D553" s="668"/>
      <c r="E553" s="691"/>
      <c r="F553" s="629"/>
      <c r="G553" s="629"/>
      <c r="H553" s="629"/>
      <c r="I553" s="691"/>
      <c r="J553" s="629"/>
      <c r="K553" s="629"/>
      <c r="L553" s="629"/>
      <c r="M553" s="629"/>
      <c r="N553" s="629"/>
      <c r="O553" s="629"/>
      <c r="P553" s="629"/>
      <c r="Q553" s="629"/>
      <c r="R553" s="629"/>
      <c r="S553" s="629"/>
      <c r="T553" s="629"/>
      <c r="U553" s="629"/>
      <c r="V553" s="629"/>
      <c r="W553" s="629"/>
      <c r="X553" s="629"/>
      <c r="Y553" s="629"/>
      <c r="Z553" s="629"/>
      <c r="AA553" s="629"/>
      <c r="AB553" s="629"/>
      <c r="AC553" s="629"/>
      <c r="AD553" s="629"/>
      <c r="AE553" s="629"/>
    </row>
    <row r="554" spans="1:31" s="628" customFormat="1" ht="13" x14ac:dyDescent="0.3">
      <c r="A554" s="646"/>
      <c r="B554" s="689"/>
      <c r="C554" s="630"/>
      <c r="D554" s="668"/>
      <c r="E554" s="691"/>
      <c r="F554" s="629"/>
      <c r="G554" s="629"/>
      <c r="H554" s="629"/>
      <c r="I554" s="691"/>
      <c r="J554" s="629"/>
      <c r="K554" s="629"/>
      <c r="L554" s="629"/>
      <c r="M554" s="629"/>
      <c r="N554" s="629"/>
      <c r="O554" s="629"/>
      <c r="P554" s="629"/>
      <c r="Q554" s="629"/>
      <c r="R554" s="629"/>
      <c r="S554" s="629"/>
      <c r="T554" s="629"/>
      <c r="U554" s="629"/>
      <c r="V554" s="629"/>
      <c r="W554" s="629"/>
      <c r="X554" s="629"/>
      <c r="Y554" s="629"/>
      <c r="Z554" s="629"/>
      <c r="AA554" s="629"/>
      <c r="AB554" s="629"/>
      <c r="AC554" s="629"/>
      <c r="AD554" s="629"/>
      <c r="AE554" s="629"/>
    </row>
    <row r="555" spans="1:31" s="628" customFormat="1" ht="13" x14ac:dyDescent="0.3">
      <c r="A555" s="646"/>
      <c r="B555" s="689"/>
      <c r="C555" s="630"/>
      <c r="D555" s="668"/>
      <c r="E555" s="691"/>
      <c r="F555" s="629"/>
      <c r="G555" s="629"/>
      <c r="H555" s="629"/>
      <c r="I555" s="691"/>
      <c r="J555" s="629"/>
      <c r="K555" s="629"/>
      <c r="L555" s="629"/>
      <c r="M555" s="629"/>
      <c r="N555" s="629"/>
      <c r="O555" s="629"/>
      <c r="P555" s="629"/>
      <c r="Q555" s="629"/>
      <c r="R555" s="629"/>
      <c r="S555" s="629"/>
      <c r="T555" s="629"/>
      <c r="U555" s="629"/>
      <c r="V555" s="629"/>
      <c r="W555" s="629"/>
      <c r="X555" s="629"/>
      <c r="Y555" s="629"/>
      <c r="Z555" s="629"/>
      <c r="AA555" s="629"/>
      <c r="AB555" s="629"/>
      <c r="AC555" s="629"/>
      <c r="AD555" s="629"/>
      <c r="AE555" s="629"/>
    </row>
    <row r="556" spans="1:31" s="628" customFormat="1" ht="13" x14ac:dyDescent="0.3">
      <c r="A556" s="646"/>
      <c r="B556" s="689"/>
      <c r="C556" s="630"/>
      <c r="D556" s="668"/>
      <c r="E556" s="691"/>
      <c r="F556" s="629"/>
      <c r="G556" s="629"/>
      <c r="H556" s="629"/>
      <c r="I556" s="691"/>
      <c r="J556" s="629"/>
      <c r="K556" s="629"/>
      <c r="L556" s="629"/>
      <c r="M556" s="629"/>
      <c r="N556" s="629"/>
      <c r="O556" s="629"/>
      <c r="P556" s="629"/>
      <c r="Q556" s="629"/>
      <c r="R556" s="629"/>
      <c r="S556" s="629"/>
      <c r="T556" s="629"/>
      <c r="U556" s="629"/>
      <c r="V556" s="629"/>
      <c r="W556" s="629"/>
      <c r="X556" s="629"/>
      <c r="Y556" s="629"/>
      <c r="Z556" s="629"/>
      <c r="AA556" s="629"/>
      <c r="AB556" s="629"/>
      <c r="AC556" s="629"/>
      <c r="AD556" s="629"/>
      <c r="AE556" s="629"/>
    </row>
    <row r="557" spans="1:31" s="628" customFormat="1" ht="13" x14ac:dyDescent="0.3">
      <c r="A557" s="646"/>
      <c r="B557" s="689"/>
      <c r="C557" s="630"/>
      <c r="D557" s="668"/>
      <c r="E557" s="691"/>
      <c r="F557" s="629"/>
      <c r="G557" s="629"/>
      <c r="H557" s="629"/>
      <c r="I557" s="691"/>
      <c r="J557" s="629"/>
      <c r="K557" s="629"/>
      <c r="L557" s="629"/>
      <c r="M557" s="629"/>
      <c r="N557" s="629"/>
      <c r="O557" s="629"/>
      <c r="P557" s="629"/>
      <c r="Q557" s="629"/>
      <c r="R557" s="629"/>
      <c r="S557" s="629"/>
      <c r="T557" s="629"/>
      <c r="U557" s="629"/>
      <c r="V557" s="629"/>
      <c r="W557" s="629"/>
      <c r="X557" s="629"/>
      <c r="Y557" s="629"/>
      <c r="Z557" s="629"/>
      <c r="AA557" s="629"/>
      <c r="AB557" s="629"/>
      <c r="AC557" s="629"/>
      <c r="AD557" s="629"/>
      <c r="AE557" s="629"/>
    </row>
    <row r="558" spans="1:31" s="628" customFormat="1" ht="13" x14ac:dyDescent="0.3">
      <c r="A558" s="646"/>
      <c r="B558" s="689"/>
      <c r="C558" s="630"/>
      <c r="D558" s="668"/>
      <c r="E558" s="691"/>
      <c r="F558" s="629"/>
      <c r="G558" s="629"/>
      <c r="H558" s="629"/>
      <c r="I558" s="691"/>
      <c r="J558" s="629"/>
      <c r="K558" s="629"/>
      <c r="L558" s="629"/>
      <c r="M558" s="629"/>
      <c r="N558" s="629"/>
      <c r="O558" s="629"/>
      <c r="P558" s="629"/>
      <c r="Q558" s="629"/>
      <c r="R558" s="629"/>
      <c r="S558" s="629"/>
      <c r="T558" s="629"/>
      <c r="U558" s="629"/>
      <c r="V558" s="629"/>
      <c r="W558" s="629"/>
      <c r="X558" s="629"/>
      <c r="Y558" s="629"/>
      <c r="Z558" s="629"/>
      <c r="AA558" s="629"/>
      <c r="AB558" s="629"/>
      <c r="AC558" s="629"/>
      <c r="AD558" s="629"/>
      <c r="AE558" s="629"/>
    </row>
    <row r="559" spans="1:31" s="628" customFormat="1" ht="13" x14ac:dyDescent="0.3">
      <c r="A559" s="646"/>
      <c r="B559" s="689"/>
      <c r="C559" s="630"/>
      <c r="D559" s="668"/>
      <c r="E559" s="691"/>
      <c r="F559" s="629"/>
      <c r="G559" s="629"/>
      <c r="H559" s="629"/>
      <c r="I559" s="691"/>
      <c r="J559" s="629"/>
      <c r="K559" s="629"/>
      <c r="L559" s="629"/>
      <c r="M559" s="629"/>
      <c r="N559" s="629"/>
      <c r="O559" s="629"/>
      <c r="P559" s="629"/>
      <c r="Q559" s="629"/>
      <c r="R559" s="629"/>
      <c r="S559" s="629"/>
      <c r="T559" s="629"/>
      <c r="U559" s="629"/>
      <c r="V559" s="629"/>
      <c r="W559" s="629"/>
      <c r="X559" s="629"/>
      <c r="Y559" s="629"/>
      <c r="Z559" s="629"/>
      <c r="AA559" s="629"/>
      <c r="AB559" s="629"/>
      <c r="AC559" s="629"/>
      <c r="AD559" s="629"/>
      <c r="AE559" s="629"/>
    </row>
    <row r="560" spans="1:31" s="628" customFormat="1" ht="13" x14ac:dyDescent="0.3">
      <c r="A560" s="646"/>
      <c r="B560" s="689"/>
      <c r="C560" s="630"/>
      <c r="D560" s="668"/>
      <c r="E560" s="691"/>
      <c r="F560" s="629"/>
      <c r="G560" s="629"/>
      <c r="H560" s="629"/>
      <c r="I560" s="691"/>
      <c r="J560" s="629"/>
      <c r="K560" s="629"/>
      <c r="L560" s="629"/>
      <c r="M560" s="629"/>
      <c r="N560" s="629"/>
      <c r="O560" s="629"/>
      <c r="P560" s="629"/>
      <c r="Q560" s="629"/>
      <c r="R560" s="629"/>
      <c r="S560" s="629"/>
      <c r="T560" s="629"/>
      <c r="U560" s="629"/>
      <c r="V560" s="629"/>
      <c r="W560" s="629"/>
      <c r="X560" s="629"/>
      <c r="Y560" s="629"/>
      <c r="Z560" s="629"/>
      <c r="AA560" s="629"/>
      <c r="AB560" s="629"/>
      <c r="AC560" s="629"/>
      <c r="AD560" s="629"/>
      <c r="AE560" s="629"/>
    </row>
    <row r="561" spans="1:31" s="628" customFormat="1" ht="13" x14ac:dyDescent="0.3">
      <c r="A561" s="646"/>
      <c r="B561" s="689"/>
      <c r="C561" s="630"/>
      <c r="D561" s="668"/>
      <c r="E561" s="691"/>
      <c r="F561" s="629"/>
      <c r="G561" s="629"/>
      <c r="H561" s="629"/>
      <c r="I561" s="691"/>
      <c r="J561" s="629"/>
      <c r="K561" s="629"/>
      <c r="L561" s="629"/>
      <c r="M561" s="629"/>
      <c r="N561" s="629"/>
      <c r="O561" s="629"/>
      <c r="P561" s="629"/>
      <c r="Q561" s="629"/>
      <c r="R561" s="629"/>
      <c r="S561" s="629"/>
      <c r="T561" s="629"/>
      <c r="U561" s="629"/>
      <c r="V561" s="629"/>
      <c r="W561" s="629"/>
      <c r="X561" s="629"/>
      <c r="Y561" s="629"/>
      <c r="Z561" s="629"/>
      <c r="AA561" s="629"/>
      <c r="AB561" s="629"/>
      <c r="AC561" s="629"/>
      <c r="AD561" s="629"/>
      <c r="AE561" s="629"/>
    </row>
    <row r="562" spans="1:31" s="628" customFormat="1" ht="13" x14ac:dyDescent="0.3">
      <c r="A562" s="646"/>
      <c r="B562" s="689"/>
      <c r="C562" s="630"/>
      <c r="D562" s="668"/>
      <c r="E562" s="691"/>
      <c r="F562" s="629"/>
      <c r="G562" s="629"/>
      <c r="H562" s="629"/>
      <c r="I562" s="691"/>
      <c r="J562" s="629"/>
      <c r="K562" s="629"/>
      <c r="L562" s="629"/>
      <c r="M562" s="629"/>
      <c r="N562" s="629"/>
      <c r="O562" s="629"/>
      <c r="P562" s="629"/>
      <c r="Q562" s="629"/>
      <c r="R562" s="629"/>
      <c r="S562" s="629"/>
      <c r="T562" s="629"/>
      <c r="U562" s="629"/>
      <c r="V562" s="629"/>
      <c r="W562" s="629"/>
      <c r="X562" s="629"/>
      <c r="Y562" s="629"/>
      <c r="Z562" s="629"/>
      <c r="AA562" s="629"/>
      <c r="AB562" s="629"/>
      <c r="AC562" s="629"/>
      <c r="AD562" s="629"/>
      <c r="AE562" s="629"/>
    </row>
    <row r="563" spans="1:31" s="628" customFormat="1" ht="13" x14ac:dyDescent="0.3">
      <c r="A563" s="646"/>
      <c r="B563" s="689"/>
      <c r="C563" s="630"/>
      <c r="D563" s="668"/>
      <c r="E563" s="691"/>
      <c r="F563" s="629"/>
      <c r="G563" s="629"/>
      <c r="H563" s="629"/>
      <c r="I563" s="691"/>
      <c r="J563" s="629"/>
      <c r="K563" s="629"/>
      <c r="L563" s="629"/>
      <c r="M563" s="629"/>
      <c r="N563" s="629"/>
      <c r="O563" s="629"/>
      <c r="P563" s="629"/>
      <c r="Q563" s="629"/>
      <c r="R563" s="629"/>
      <c r="S563" s="629"/>
      <c r="T563" s="629"/>
      <c r="U563" s="629"/>
      <c r="V563" s="629"/>
      <c r="W563" s="629"/>
      <c r="X563" s="629"/>
      <c r="Y563" s="629"/>
      <c r="Z563" s="629"/>
      <c r="AA563" s="629"/>
      <c r="AB563" s="629"/>
      <c r="AC563" s="629"/>
      <c r="AD563" s="629"/>
      <c r="AE563" s="629"/>
    </row>
    <row r="564" spans="1:31" s="628" customFormat="1" ht="13" x14ac:dyDescent="0.3">
      <c r="A564" s="646"/>
      <c r="B564" s="689"/>
      <c r="C564" s="630"/>
      <c r="D564" s="668"/>
      <c r="E564" s="691"/>
      <c r="F564" s="629"/>
      <c r="G564" s="629"/>
      <c r="H564" s="629"/>
      <c r="I564" s="691"/>
      <c r="J564" s="629"/>
      <c r="K564" s="629"/>
      <c r="L564" s="629"/>
      <c r="M564" s="629"/>
      <c r="N564" s="629"/>
      <c r="O564" s="629"/>
      <c r="P564" s="629"/>
      <c r="Q564" s="629"/>
      <c r="R564" s="629"/>
      <c r="S564" s="629"/>
      <c r="T564" s="629"/>
      <c r="U564" s="629"/>
      <c r="V564" s="629"/>
      <c r="W564" s="629"/>
      <c r="X564" s="629"/>
      <c r="Y564" s="629"/>
      <c r="Z564" s="629"/>
      <c r="AA564" s="629"/>
      <c r="AB564" s="629"/>
      <c r="AC564" s="629"/>
      <c r="AD564" s="629"/>
      <c r="AE564" s="629"/>
    </row>
    <row r="565" spans="1:31" s="628" customFormat="1" ht="13" x14ac:dyDescent="0.3">
      <c r="A565" s="646"/>
      <c r="B565" s="689"/>
      <c r="C565" s="630"/>
      <c r="D565" s="668"/>
      <c r="E565" s="691"/>
      <c r="F565" s="629"/>
      <c r="G565" s="629"/>
      <c r="H565" s="629"/>
      <c r="I565" s="691"/>
      <c r="J565" s="629"/>
      <c r="K565" s="629"/>
      <c r="L565" s="629"/>
      <c r="M565" s="629"/>
      <c r="N565" s="629"/>
      <c r="O565" s="629"/>
      <c r="P565" s="629"/>
      <c r="Q565" s="629"/>
      <c r="R565" s="629"/>
      <c r="S565" s="629"/>
      <c r="T565" s="629"/>
      <c r="U565" s="629"/>
      <c r="V565" s="629"/>
      <c r="W565" s="629"/>
      <c r="X565" s="629"/>
      <c r="Y565" s="629"/>
      <c r="Z565" s="629"/>
      <c r="AA565" s="629"/>
      <c r="AB565" s="629"/>
      <c r="AC565" s="629"/>
      <c r="AD565" s="629"/>
      <c r="AE565" s="629"/>
    </row>
    <row r="566" spans="1:31" s="628" customFormat="1" ht="13" x14ac:dyDescent="0.3">
      <c r="A566" s="646"/>
      <c r="B566" s="689"/>
      <c r="C566" s="630"/>
      <c r="D566" s="668"/>
      <c r="E566" s="691"/>
      <c r="F566" s="629"/>
      <c r="G566" s="629"/>
      <c r="H566" s="629"/>
      <c r="I566" s="691"/>
      <c r="J566" s="629"/>
      <c r="K566" s="629"/>
      <c r="L566" s="629"/>
      <c r="M566" s="629"/>
      <c r="N566" s="629"/>
      <c r="O566" s="629"/>
      <c r="P566" s="629"/>
      <c r="Q566" s="629"/>
      <c r="R566" s="629"/>
      <c r="S566" s="629"/>
      <c r="T566" s="629"/>
      <c r="U566" s="629"/>
      <c r="V566" s="629"/>
      <c r="W566" s="629"/>
      <c r="X566" s="629"/>
      <c r="Y566" s="629"/>
      <c r="Z566" s="629"/>
      <c r="AA566" s="629"/>
      <c r="AB566" s="629"/>
      <c r="AC566" s="629"/>
      <c r="AD566" s="629"/>
      <c r="AE566" s="629"/>
    </row>
    <row r="567" spans="1:31" s="628" customFormat="1" ht="13" x14ac:dyDescent="0.3">
      <c r="A567" s="646"/>
      <c r="B567" s="689"/>
      <c r="C567" s="630"/>
      <c r="D567" s="668"/>
      <c r="E567" s="691"/>
      <c r="F567" s="629"/>
      <c r="G567" s="629"/>
      <c r="H567" s="629"/>
      <c r="I567" s="691"/>
      <c r="J567" s="629"/>
      <c r="K567" s="629"/>
      <c r="L567" s="629"/>
      <c r="M567" s="629"/>
      <c r="N567" s="629"/>
      <c r="O567" s="629"/>
      <c r="P567" s="629"/>
      <c r="Q567" s="629"/>
      <c r="R567" s="629"/>
      <c r="S567" s="629"/>
      <c r="T567" s="629"/>
      <c r="U567" s="629"/>
      <c r="V567" s="629"/>
      <c r="W567" s="629"/>
      <c r="X567" s="629"/>
      <c r="Y567" s="629"/>
      <c r="Z567" s="629"/>
      <c r="AA567" s="629"/>
      <c r="AB567" s="629"/>
      <c r="AC567" s="629"/>
      <c r="AD567" s="629"/>
      <c r="AE567" s="629"/>
    </row>
    <row r="568" spans="1:31" s="628" customFormat="1" ht="13" x14ac:dyDescent="0.3">
      <c r="A568" s="646"/>
      <c r="B568" s="689"/>
      <c r="C568" s="630"/>
      <c r="D568" s="668"/>
      <c r="E568" s="691"/>
      <c r="F568" s="629"/>
      <c r="G568" s="629"/>
      <c r="H568" s="629"/>
      <c r="I568" s="691"/>
      <c r="J568" s="629"/>
      <c r="K568" s="629"/>
      <c r="L568" s="629"/>
      <c r="M568" s="629"/>
      <c r="N568" s="629"/>
      <c r="O568" s="629"/>
      <c r="P568" s="629"/>
      <c r="Q568" s="629"/>
      <c r="R568" s="629"/>
      <c r="S568" s="629"/>
      <c r="T568" s="629"/>
      <c r="U568" s="629"/>
      <c r="V568" s="629"/>
      <c r="W568" s="629"/>
      <c r="X568" s="629"/>
      <c r="Y568" s="629"/>
      <c r="Z568" s="629"/>
      <c r="AA568" s="629"/>
      <c r="AB568" s="629"/>
      <c r="AC568" s="629"/>
      <c r="AD568" s="629"/>
      <c r="AE568" s="629"/>
    </row>
    <row r="569" spans="1:31" s="628" customFormat="1" ht="13" x14ac:dyDescent="0.3">
      <c r="A569" s="646"/>
      <c r="B569" s="689"/>
      <c r="C569" s="630"/>
      <c r="D569" s="668"/>
      <c r="E569" s="691"/>
      <c r="F569" s="629"/>
      <c r="G569" s="629"/>
      <c r="H569" s="629"/>
      <c r="I569" s="691"/>
      <c r="J569" s="629"/>
      <c r="K569" s="629"/>
      <c r="L569" s="629"/>
      <c r="M569" s="629"/>
      <c r="N569" s="629"/>
      <c r="O569" s="629"/>
      <c r="P569" s="629"/>
      <c r="Q569" s="629"/>
      <c r="R569" s="629"/>
      <c r="S569" s="629"/>
      <c r="T569" s="629"/>
      <c r="U569" s="629"/>
      <c r="V569" s="629"/>
      <c r="W569" s="629"/>
      <c r="X569" s="629"/>
      <c r="Y569" s="629"/>
      <c r="Z569" s="629"/>
      <c r="AA569" s="629"/>
      <c r="AB569" s="629"/>
      <c r="AC569" s="629"/>
      <c r="AD569" s="629"/>
      <c r="AE569" s="629"/>
    </row>
    <row r="570" spans="1:31" s="628" customFormat="1" ht="13" x14ac:dyDescent="0.3">
      <c r="A570" s="646"/>
      <c r="B570" s="689"/>
      <c r="C570" s="630"/>
      <c r="D570" s="668"/>
      <c r="E570" s="691"/>
      <c r="F570" s="629"/>
      <c r="G570" s="629"/>
      <c r="H570" s="629"/>
      <c r="I570" s="691"/>
      <c r="J570" s="629"/>
      <c r="K570" s="629"/>
      <c r="L570" s="629"/>
      <c r="M570" s="629"/>
      <c r="N570" s="629"/>
      <c r="O570" s="629"/>
      <c r="P570" s="629"/>
      <c r="Q570" s="629"/>
      <c r="R570" s="629"/>
      <c r="S570" s="629"/>
      <c r="T570" s="629"/>
      <c r="U570" s="629"/>
      <c r="V570" s="629"/>
      <c r="W570" s="629"/>
      <c r="X570" s="629"/>
      <c r="Y570" s="629"/>
      <c r="Z570" s="629"/>
      <c r="AA570" s="629"/>
      <c r="AB570" s="629"/>
      <c r="AC570" s="629"/>
      <c r="AD570" s="629"/>
      <c r="AE570" s="629"/>
    </row>
    <row r="571" spans="1:31" s="628" customFormat="1" ht="13" x14ac:dyDescent="0.3">
      <c r="A571" s="646"/>
      <c r="B571" s="689"/>
      <c r="C571" s="630"/>
      <c r="D571" s="668"/>
      <c r="E571" s="691"/>
      <c r="F571" s="629"/>
      <c r="G571" s="629"/>
      <c r="H571" s="629"/>
      <c r="I571" s="691"/>
      <c r="J571" s="629"/>
      <c r="K571" s="629"/>
      <c r="L571" s="629"/>
      <c r="M571" s="629"/>
      <c r="N571" s="629"/>
      <c r="O571" s="629"/>
      <c r="P571" s="629"/>
      <c r="Q571" s="629"/>
      <c r="R571" s="629"/>
      <c r="S571" s="629"/>
      <c r="T571" s="629"/>
      <c r="U571" s="629"/>
      <c r="V571" s="629"/>
      <c r="W571" s="629"/>
      <c r="X571" s="629"/>
      <c r="Y571" s="629"/>
      <c r="Z571" s="629"/>
      <c r="AA571" s="629"/>
      <c r="AB571" s="629"/>
      <c r="AC571" s="629"/>
      <c r="AD571" s="629"/>
      <c r="AE571" s="629"/>
    </row>
    <row r="572" spans="1:31" s="628" customFormat="1" ht="13" x14ac:dyDescent="0.3">
      <c r="A572" s="646"/>
      <c r="B572" s="689"/>
      <c r="C572" s="630"/>
      <c r="D572" s="668"/>
      <c r="E572" s="691"/>
      <c r="F572" s="629"/>
      <c r="G572" s="629"/>
      <c r="H572" s="629"/>
      <c r="I572" s="691"/>
      <c r="J572" s="629"/>
      <c r="K572" s="629"/>
      <c r="L572" s="629"/>
      <c r="M572" s="629"/>
      <c r="N572" s="629"/>
      <c r="O572" s="629"/>
      <c r="P572" s="629"/>
      <c r="Q572" s="629"/>
      <c r="R572" s="629"/>
      <c r="S572" s="629"/>
      <c r="T572" s="629"/>
      <c r="U572" s="629"/>
      <c r="V572" s="629"/>
      <c r="W572" s="629"/>
      <c r="X572" s="629"/>
      <c r="Y572" s="629"/>
      <c r="Z572" s="629"/>
      <c r="AA572" s="629"/>
      <c r="AB572" s="629"/>
      <c r="AC572" s="629"/>
      <c r="AD572" s="629"/>
      <c r="AE572" s="629"/>
    </row>
    <row r="573" spans="1:31" s="628" customFormat="1" ht="13" x14ac:dyDescent="0.3">
      <c r="A573" s="646"/>
      <c r="B573" s="689"/>
      <c r="C573" s="630"/>
      <c r="D573" s="668"/>
      <c r="E573" s="691"/>
      <c r="F573" s="629"/>
      <c r="G573" s="629"/>
      <c r="H573" s="629"/>
      <c r="I573" s="691"/>
      <c r="J573" s="629"/>
      <c r="K573" s="629"/>
      <c r="L573" s="629"/>
      <c r="M573" s="629"/>
      <c r="N573" s="629"/>
      <c r="O573" s="629"/>
      <c r="P573" s="629"/>
      <c r="Q573" s="629"/>
      <c r="R573" s="629"/>
      <c r="S573" s="629"/>
      <c r="T573" s="629"/>
      <c r="U573" s="629"/>
      <c r="V573" s="629"/>
      <c r="W573" s="629"/>
      <c r="X573" s="629"/>
      <c r="Y573" s="629"/>
      <c r="Z573" s="629"/>
      <c r="AA573" s="629"/>
      <c r="AB573" s="629"/>
      <c r="AC573" s="629"/>
      <c r="AD573" s="629"/>
      <c r="AE573" s="629"/>
    </row>
    <row r="574" spans="1:31" s="628" customFormat="1" ht="13" x14ac:dyDescent="0.3">
      <c r="A574" s="646"/>
      <c r="B574" s="689"/>
      <c r="C574" s="630"/>
      <c r="D574" s="668"/>
      <c r="E574" s="691"/>
      <c r="F574" s="629"/>
      <c r="G574" s="629"/>
      <c r="H574" s="629"/>
      <c r="I574" s="691"/>
      <c r="J574" s="629"/>
      <c r="K574" s="629"/>
      <c r="L574" s="629"/>
      <c r="M574" s="629"/>
      <c r="N574" s="629"/>
      <c r="O574" s="629"/>
      <c r="P574" s="629"/>
      <c r="Q574" s="629"/>
      <c r="R574" s="629"/>
      <c r="S574" s="629"/>
      <c r="T574" s="629"/>
      <c r="U574" s="629"/>
      <c r="V574" s="629"/>
      <c r="W574" s="629"/>
      <c r="X574" s="629"/>
      <c r="Y574" s="629"/>
      <c r="Z574" s="629"/>
      <c r="AA574" s="629"/>
      <c r="AB574" s="629"/>
      <c r="AC574" s="629"/>
      <c r="AD574" s="629"/>
      <c r="AE574" s="629"/>
    </row>
    <row r="575" spans="1:31" s="628" customFormat="1" ht="13" x14ac:dyDescent="0.3">
      <c r="A575" s="646"/>
      <c r="B575" s="689"/>
      <c r="C575" s="630"/>
      <c r="D575" s="668"/>
      <c r="E575" s="691"/>
      <c r="F575" s="629"/>
      <c r="G575" s="629"/>
      <c r="H575" s="629"/>
      <c r="I575" s="691"/>
      <c r="J575" s="629"/>
      <c r="K575" s="629"/>
      <c r="L575" s="629"/>
      <c r="M575" s="629"/>
      <c r="N575" s="629"/>
      <c r="O575" s="629"/>
      <c r="P575" s="629"/>
      <c r="Q575" s="629"/>
      <c r="R575" s="629"/>
      <c r="S575" s="629"/>
      <c r="T575" s="629"/>
      <c r="U575" s="629"/>
      <c r="V575" s="629"/>
      <c r="W575" s="629"/>
      <c r="X575" s="629"/>
      <c r="Y575" s="629"/>
      <c r="Z575" s="629"/>
      <c r="AA575" s="629"/>
      <c r="AB575" s="629"/>
      <c r="AC575" s="629"/>
      <c r="AD575" s="629"/>
      <c r="AE575" s="629"/>
    </row>
    <row r="576" spans="1:31" s="628" customFormat="1" ht="13" x14ac:dyDescent="0.3">
      <c r="A576" s="646"/>
      <c r="B576" s="689"/>
      <c r="C576" s="630"/>
      <c r="D576" s="668"/>
      <c r="E576" s="691"/>
      <c r="F576" s="629"/>
      <c r="G576" s="629"/>
      <c r="H576" s="629"/>
      <c r="I576" s="691"/>
      <c r="J576" s="629"/>
      <c r="K576" s="629"/>
      <c r="L576" s="629"/>
      <c r="M576" s="629"/>
      <c r="N576" s="629"/>
      <c r="O576" s="629"/>
      <c r="P576" s="629"/>
      <c r="Q576" s="629"/>
      <c r="R576" s="629"/>
      <c r="S576" s="629"/>
      <c r="T576" s="629"/>
      <c r="U576" s="629"/>
      <c r="V576" s="629"/>
      <c r="W576" s="629"/>
      <c r="X576" s="629"/>
      <c r="Y576" s="629"/>
      <c r="Z576" s="629"/>
      <c r="AA576" s="629"/>
      <c r="AB576" s="629"/>
      <c r="AC576" s="629"/>
      <c r="AD576" s="629"/>
      <c r="AE576" s="629"/>
    </row>
    <row r="577" spans="1:31" s="628" customFormat="1" ht="13" x14ac:dyDescent="0.3">
      <c r="A577" s="646"/>
      <c r="B577" s="689"/>
      <c r="C577" s="630"/>
      <c r="D577" s="668"/>
      <c r="E577" s="691"/>
      <c r="F577" s="629"/>
      <c r="G577" s="629"/>
      <c r="H577" s="629"/>
      <c r="I577" s="691"/>
      <c r="J577" s="629"/>
      <c r="K577" s="629"/>
      <c r="L577" s="629"/>
      <c r="M577" s="629"/>
      <c r="N577" s="629"/>
      <c r="O577" s="629"/>
      <c r="P577" s="629"/>
      <c r="Q577" s="629"/>
      <c r="R577" s="629"/>
      <c r="S577" s="629"/>
      <c r="T577" s="629"/>
      <c r="U577" s="629"/>
      <c r="V577" s="629"/>
      <c r="W577" s="629"/>
      <c r="X577" s="629"/>
      <c r="Y577" s="629"/>
      <c r="Z577" s="629"/>
      <c r="AA577" s="629"/>
      <c r="AB577" s="629"/>
      <c r="AC577" s="629"/>
      <c r="AD577" s="629"/>
      <c r="AE577" s="629"/>
    </row>
    <row r="578" spans="1:31" s="628" customFormat="1" ht="13" x14ac:dyDescent="0.3">
      <c r="A578" s="646"/>
      <c r="B578" s="689"/>
      <c r="C578" s="630"/>
      <c r="D578" s="668"/>
      <c r="E578" s="691"/>
      <c r="F578" s="629"/>
      <c r="G578" s="629"/>
      <c r="H578" s="629"/>
      <c r="I578" s="691"/>
      <c r="J578" s="629"/>
      <c r="K578" s="629"/>
      <c r="L578" s="629"/>
      <c r="M578" s="629"/>
      <c r="N578" s="629"/>
      <c r="O578" s="629"/>
      <c r="P578" s="629"/>
      <c r="Q578" s="629"/>
      <c r="R578" s="629"/>
      <c r="S578" s="629"/>
      <c r="T578" s="629"/>
      <c r="U578" s="629"/>
      <c r="V578" s="629"/>
      <c r="W578" s="629"/>
      <c r="X578" s="629"/>
      <c r="Y578" s="629"/>
      <c r="Z578" s="629"/>
      <c r="AA578" s="629"/>
      <c r="AB578" s="629"/>
      <c r="AC578" s="629"/>
      <c r="AD578" s="629"/>
      <c r="AE578" s="629"/>
    </row>
    <row r="579" spans="1:31" s="628" customFormat="1" ht="13" x14ac:dyDescent="0.3">
      <c r="A579" s="646"/>
      <c r="B579" s="689"/>
      <c r="C579" s="630"/>
      <c r="D579" s="668"/>
      <c r="E579" s="691"/>
      <c r="F579" s="629"/>
      <c r="G579" s="629"/>
      <c r="H579" s="629"/>
      <c r="I579" s="691"/>
      <c r="J579" s="629"/>
      <c r="K579" s="629"/>
      <c r="L579" s="629"/>
      <c r="M579" s="629"/>
      <c r="N579" s="629"/>
      <c r="O579" s="629"/>
      <c r="P579" s="629"/>
      <c r="Q579" s="629"/>
      <c r="R579" s="629"/>
      <c r="S579" s="629"/>
      <c r="T579" s="629"/>
      <c r="U579" s="629"/>
      <c r="V579" s="629"/>
      <c r="W579" s="629"/>
      <c r="X579" s="629"/>
      <c r="Y579" s="629"/>
      <c r="Z579" s="629"/>
      <c r="AA579" s="629"/>
      <c r="AB579" s="629"/>
      <c r="AC579" s="629"/>
      <c r="AD579" s="629"/>
      <c r="AE579" s="629"/>
    </row>
    <row r="580" spans="1:31" s="628" customFormat="1" ht="13" x14ac:dyDescent="0.3">
      <c r="A580" s="646"/>
      <c r="B580" s="689"/>
      <c r="C580" s="630"/>
      <c r="D580" s="668"/>
      <c r="E580" s="691"/>
      <c r="F580" s="629"/>
      <c r="G580" s="629"/>
      <c r="H580" s="629"/>
      <c r="I580" s="691"/>
      <c r="J580" s="629"/>
      <c r="K580" s="629"/>
      <c r="L580" s="629"/>
      <c r="M580" s="629"/>
      <c r="N580" s="629"/>
      <c r="O580" s="629"/>
      <c r="P580" s="629"/>
      <c r="Q580" s="629"/>
      <c r="R580" s="629"/>
      <c r="S580" s="629"/>
      <c r="T580" s="629"/>
      <c r="U580" s="629"/>
      <c r="V580" s="629"/>
      <c r="W580" s="629"/>
      <c r="X580" s="629"/>
      <c r="Y580" s="629"/>
      <c r="Z580" s="629"/>
      <c r="AA580" s="629"/>
      <c r="AB580" s="629"/>
      <c r="AC580" s="629"/>
      <c r="AD580" s="629"/>
      <c r="AE580" s="629"/>
    </row>
    <row r="581" spans="1:31" s="628" customFormat="1" ht="13" x14ac:dyDescent="0.3">
      <c r="A581" s="646"/>
      <c r="B581" s="689"/>
      <c r="C581" s="630"/>
      <c r="D581" s="668"/>
      <c r="E581" s="691"/>
      <c r="F581" s="629"/>
      <c r="G581" s="629"/>
      <c r="H581" s="629"/>
      <c r="I581" s="691"/>
      <c r="J581" s="629"/>
      <c r="K581" s="629"/>
      <c r="L581" s="629"/>
      <c r="M581" s="629"/>
      <c r="N581" s="629"/>
      <c r="O581" s="629"/>
      <c r="P581" s="629"/>
      <c r="Q581" s="629"/>
      <c r="R581" s="629"/>
      <c r="S581" s="629"/>
      <c r="T581" s="629"/>
      <c r="U581" s="629"/>
      <c r="V581" s="629"/>
      <c r="W581" s="629"/>
      <c r="X581" s="629"/>
      <c r="Y581" s="629"/>
      <c r="Z581" s="629"/>
      <c r="AA581" s="629"/>
      <c r="AB581" s="629"/>
      <c r="AC581" s="629"/>
      <c r="AD581" s="629"/>
      <c r="AE581" s="629"/>
    </row>
    <row r="582" spans="1:31" s="628" customFormat="1" ht="13" x14ac:dyDescent="0.3">
      <c r="A582" s="646"/>
      <c r="B582" s="689"/>
      <c r="C582" s="630"/>
      <c r="D582" s="668"/>
      <c r="E582" s="691"/>
      <c r="F582" s="629"/>
      <c r="G582" s="629"/>
      <c r="H582" s="629"/>
      <c r="I582" s="691"/>
      <c r="J582" s="629"/>
      <c r="K582" s="629"/>
      <c r="L582" s="629"/>
      <c r="M582" s="629"/>
      <c r="N582" s="629"/>
      <c r="O582" s="629"/>
      <c r="P582" s="629"/>
      <c r="Q582" s="629"/>
      <c r="R582" s="629"/>
      <c r="S582" s="629"/>
      <c r="T582" s="629"/>
      <c r="U582" s="629"/>
      <c r="V582" s="629"/>
      <c r="W582" s="629"/>
      <c r="X582" s="629"/>
      <c r="Y582" s="629"/>
      <c r="Z582" s="629"/>
      <c r="AA582" s="629"/>
      <c r="AB582" s="629"/>
      <c r="AC582" s="629"/>
      <c r="AD582" s="629"/>
      <c r="AE582" s="629"/>
    </row>
    <row r="583" spans="1:31" s="628" customFormat="1" ht="13" x14ac:dyDescent="0.3">
      <c r="A583" s="646"/>
      <c r="B583" s="689"/>
      <c r="C583" s="630"/>
      <c r="D583" s="668"/>
      <c r="E583" s="691"/>
      <c r="F583" s="629"/>
      <c r="G583" s="629"/>
      <c r="H583" s="629"/>
      <c r="I583" s="691"/>
      <c r="J583" s="629"/>
      <c r="K583" s="629"/>
      <c r="L583" s="629"/>
      <c r="M583" s="629"/>
      <c r="N583" s="629"/>
      <c r="O583" s="629"/>
      <c r="P583" s="629"/>
      <c r="Q583" s="629"/>
      <c r="R583" s="629"/>
      <c r="S583" s="629"/>
      <c r="T583" s="629"/>
      <c r="U583" s="629"/>
      <c r="V583" s="629"/>
      <c r="W583" s="629"/>
      <c r="X583" s="629"/>
      <c r="Y583" s="629"/>
      <c r="Z583" s="629"/>
      <c r="AA583" s="629"/>
      <c r="AB583" s="629"/>
      <c r="AC583" s="629"/>
      <c r="AD583" s="629"/>
      <c r="AE583" s="629"/>
    </row>
    <row r="584" spans="1:31" s="628" customFormat="1" ht="13" x14ac:dyDescent="0.3">
      <c r="A584" s="646"/>
      <c r="B584" s="689"/>
      <c r="C584" s="630"/>
      <c r="D584" s="668"/>
      <c r="E584" s="691"/>
      <c r="F584" s="629"/>
      <c r="G584" s="629"/>
      <c r="H584" s="629"/>
      <c r="I584" s="691"/>
      <c r="J584" s="629"/>
      <c r="K584" s="629"/>
      <c r="L584" s="629"/>
      <c r="M584" s="629"/>
      <c r="N584" s="629"/>
      <c r="O584" s="629"/>
      <c r="P584" s="629"/>
      <c r="Q584" s="629"/>
      <c r="R584" s="629"/>
      <c r="S584" s="629"/>
      <c r="T584" s="629"/>
      <c r="U584" s="629"/>
      <c r="V584" s="629"/>
      <c r="W584" s="629"/>
      <c r="X584" s="629"/>
      <c r="Y584" s="629"/>
      <c r="Z584" s="629"/>
      <c r="AA584" s="629"/>
      <c r="AB584" s="629"/>
      <c r="AC584" s="629"/>
      <c r="AD584" s="629"/>
      <c r="AE584" s="629"/>
    </row>
    <row r="585" spans="1:31" s="628" customFormat="1" ht="13" x14ac:dyDescent="0.3">
      <c r="A585" s="646"/>
      <c r="B585" s="689"/>
      <c r="C585" s="630"/>
      <c r="D585" s="668"/>
      <c r="E585" s="691"/>
      <c r="F585" s="629"/>
      <c r="G585" s="629"/>
      <c r="H585" s="629"/>
      <c r="I585" s="691"/>
      <c r="J585" s="629"/>
      <c r="K585" s="629"/>
      <c r="L585" s="629"/>
      <c r="M585" s="629"/>
      <c r="N585" s="629"/>
      <c r="O585" s="629"/>
      <c r="P585" s="629"/>
      <c r="Q585" s="629"/>
      <c r="R585" s="629"/>
      <c r="S585" s="629"/>
      <c r="T585" s="629"/>
      <c r="U585" s="629"/>
      <c r="V585" s="629"/>
      <c r="W585" s="629"/>
      <c r="X585" s="629"/>
      <c r="Y585" s="629"/>
      <c r="Z585" s="629"/>
      <c r="AA585" s="629"/>
      <c r="AB585" s="629"/>
      <c r="AC585" s="629"/>
      <c r="AD585" s="629"/>
      <c r="AE585" s="629"/>
    </row>
    <row r="586" spans="1:31" s="628" customFormat="1" ht="13" x14ac:dyDescent="0.3">
      <c r="A586" s="646"/>
      <c r="B586" s="689"/>
      <c r="C586" s="630"/>
      <c r="D586" s="668"/>
      <c r="E586" s="691"/>
      <c r="F586" s="629"/>
      <c r="G586" s="629"/>
      <c r="H586" s="629"/>
      <c r="I586" s="691"/>
      <c r="J586" s="629"/>
      <c r="K586" s="629"/>
      <c r="L586" s="629"/>
      <c r="M586" s="629"/>
      <c r="N586" s="629"/>
      <c r="O586" s="629"/>
      <c r="P586" s="629"/>
      <c r="Q586" s="629"/>
      <c r="R586" s="629"/>
      <c r="S586" s="629"/>
      <c r="T586" s="629"/>
      <c r="U586" s="629"/>
      <c r="V586" s="629"/>
      <c r="W586" s="629"/>
      <c r="X586" s="629"/>
      <c r="Y586" s="629"/>
      <c r="Z586" s="629"/>
      <c r="AA586" s="629"/>
      <c r="AB586" s="629"/>
      <c r="AC586" s="629"/>
      <c r="AD586" s="629"/>
      <c r="AE586" s="629"/>
    </row>
    <row r="587" spans="1:31" s="628" customFormat="1" ht="13" x14ac:dyDescent="0.3">
      <c r="A587" s="646"/>
      <c r="B587" s="689"/>
      <c r="C587" s="630"/>
      <c r="D587" s="668"/>
      <c r="E587" s="691"/>
      <c r="F587" s="629"/>
      <c r="G587" s="629"/>
      <c r="H587" s="629"/>
      <c r="I587" s="691"/>
      <c r="J587" s="629"/>
      <c r="K587" s="629"/>
      <c r="L587" s="629"/>
      <c r="M587" s="629"/>
      <c r="N587" s="629"/>
      <c r="O587" s="629"/>
      <c r="P587" s="629"/>
      <c r="Q587" s="629"/>
      <c r="R587" s="629"/>
      <c r="S587" s="629"/>
      <c r="T587" s="629"/>
      <c r="U587" s="629"/>
      <c r="V587" s="629"/>
      <c r="W587" s="629"/>
      <c r="X587" s="629"/>
      <c r="Y587" s="629"/>
      <c r="Z587" s="629"/>
      <c r="AA587" s="629"/>
      <c r="AB587" s="629"/>
      <c r="AC587" s="629"/>
      <c r="AD587" s="629"/>
      <c r="AE587" s="629"/>
    </row>
    <row r="588" spans="1:31" s="628" customFormat="1" ht="13" x14ac:dyDescent="0.3">
      <c r="A588" s="646"/>
      <c r="B588" s="689"/>
      <c r="C588" s="630"/>
      <c r="D588" s="668"/>
      <c r="E588" s="691"/>
      <c r="F588" s="629"/>
      <c r="G588" s="629"/>
      <c r="H588" s="629"/>
      <c r="I588" s="691"/>
      <c r="J588" s="629"/>
      <c r="K588" s="629"/>
      <c r="L588" s="629"/>
      <c r="M588" s="629"/>
      <c r="N588" s="629"/>
      <c r="O588" s="629"/>
      <c r="P588" s="629"/>
      <c r="Q588" s="629"/>
      <c r="R588" s="629"/>
      <c r="S588" s="629"/>
      <c r="T588" s="629"/>
      <c r="U588" s="629"/>
      <c r="V588" s="629"/>
      <c r="W588" s="629"/>
      <c r="X588" s="629"/>
      <c r="Y588" s="629"/>
      <c r="Z588" s="629"/>
      <c r="AA588" s="629"/>
      <c r="AB588" s="629"/>
      <c r="AC588" s="629"/>
      <c r="AD588" s="629"/>
      <c r="AE588" s="629"/>
    </row>
    <row r="589" spans="1:31" s="628" customFormat="1" ht="13" x14ac:dyDescent="0.3">
      <c r="A589" s="646"/>
      <c r="B589" s="689"/>
      <c r="C589" s="630"/>
      <c r="D589" s="668"/>
      <c r="E589" s="691"/>
      <c r="F589" s="629"/>
      <c r="G589" s="629"/>
      <c r="H589" s="629"/>
      <c r="I589" s="691"/>
      <c r="J589" s="629"/>
      <c r="K589" s="629"/>
      <c r="L589" s="629"/>
      <c r="M589" s="629"/>
      <c r="N589" s="629"/>
      <c r="O589" s="629"/>
      <c r="P589" s="629"/>
      <c r="Q589" s="629"/>
      <c r="R589" s="629"/>
      <c r="S589" s="629"/>
      <c r="T589" s="629"/>
      <c r="U589" s="629"/>
      <c r="V589" s="629"/>
      <c r="W589" s="629"/>
      <c r="X589" s="629"/>
      <c r="Y589" s="629"/>
      <c r="Z589" s="629"/>
      <c r="AA589" s="629"/>
      <c r="AB589" s="629"/>
      <c r="AC589" s="629"/>
      <c r="AD589" s="629"/>
      <c r="AE589" s="629"/>
    </row>
    <row r="590" spans="1:31" s="628" customFormat="1" ht="13" x14ac:dyDescent="0.3">
      <c r="A590" s="646"/>
      <c r="B590" s="689"/>
      <c r="C590" s="630"/>
      <c r="D590" s="668"/>
      <c r="E590" s="691"/>
      <c r="F590" s="629"/>
      <c r="G590" s="629"/>
      <c r="H590" s="629"/>
      <c r="I590" s="691"/>
      <c r="J590" s="629"/>
      <c r="K590" s="629"/>
      <c r="L590" s="629"/>
      <c r="M590" s="629"/>
      <c r="N590" s="629"/>
      <c r="O590" s="629"/>
      <c r="P590" s="629"/>
      <c r="Q590" s="629"/>
      <c r="R590" s="629"/>
      <c r="S590" s="629"/>
      <c r="T590" s="629"/>
      <c r="U590" s="629"/>
      <c r="V590" s="629"/>
      <c r="W590" s="629"/>
      <c r="X590" s="629"/>
      <c r="Y590" s="629"/>
      <c r="Z590" s="629"/>
      <c r="AA590" s="629"/>
      <c r="AB590" s="629"/>
      <c r="AC590" s="629"/>
      <c r="AD590" s="629"/>
      <c r="AE590" s="629"/>
    </row>
    <row r="591" spans="1:31" s="628" customFormat="1" ht="13" x14ac:dyDescent="0.3">
      <c r="A591" s="646"/>
      <c r="B591" s="689"/>
      <c r="C591" s="630"/>
      <c r="D591" s="668"/>
      <c r="E591" s="691"/>
      <c r="F591" s="629"/>
      <c r="G591" s="629"/>
      <c r="H591" s="629"/>
      <c r="I591" s="691"/>
      <c r="J591" s="629"/>
      <c r="K591" s="629"/>
      <c r="L591" s="629"/>
      <c r="M591" s="629"/>
      <c r="N591" s="629"/>
      <c r="O591" s="629"/>
      <c r="P591" s="629"/>
      <c r="Q591" s="629"/>
      <c r="R591" s="629"/>
      <c r="S591" s="629"/>
      <c r="T591" s="629"/>
      <c r="U591" s="629"/>
      <c r="V591" s="629"/>
      <c r="W591" s="629"/>
      <c r="X591" s="629"/>
      <c r="Y591" s="629"/>
      <c r="Z591" s="629"/>
      <c r="AA591" s="629"/>
      <c r="AB591" s="629"/>
      <c r="AC591" s="629"/>
      <c r="AD591" s="629"/>
      <c r="AE591" s="629"/>
    </row>
    <row r="592" spans="1:31" s="628" customFormat="1" ht="13" x14ac:dyDescent="0.3">
      <c r="A592" s="646"/>
      <c r="B592" s="689"/>
      <c r="C592" s="630"/>
      <c r="D592" s="668"/>
      <c r="E592" s="691"/>
      <c r="F592" s="629"/>
      <c r="G592" s="629"/>
      <c r="H592" s="629"/>
      <c r="I592" s="691"/>
      <c r="J592" s="629"/>
      <c r="K592" s="629"/>
      <c r="L592" s="629"/>
      <c r="M592" s="629"/>
      <c r="N592" s="629"/>
      <c r="O592" s="629"/>
      <c r="P592" s="629"/>
      <c r="Q592" s="629"/>
      <c r="R592" s="629"/>
      <c r="S592" s="629"/>
      <c r="T592" s="629"/>
      <c r="U592" s="629"/>
      <c r="V592" s="629"/>
      <c r="W592" s="629"/>
      <c r="X592" s="629"/>
      <c r="Y592" s="629"/>
      <c r="Z592" s="629"/>
      <c r="AA592" s="629"/>
      <c r="AB592" s="629"/>
      <c r="AC592" s="629"/>
      <c r="AD592" s="629"/>
      <c r="AE592" s="629"/>
    </row>
    <row r="593" spans="1:31" s="628" customFormat="1" ht="13" x14ac:dyDescent="0.3">
      <c r="A593" s="646"/>
      <c r="B593" s="689"/>
      <c r="C593" s="630"/>
      <c r="D593" s="668"/>
      <c r="E593" s="691"/>
      <c r="F593" s="629"/>
      <c r="G593" s="629"/>
      <c r="H593" s="629"/>
      <c r="I593" s="691"/>
      <c r="J593" s="629"/>
      <c r="K593" s="629"/>
      <c r="L593" s="629"/>
      <c r="M593" s="629"/>
      <c r="N593" s="629"/>
      <c r="O593" s="629"/>
      <c r="P593" s="629"/>
      <c r="Q593" s="629"/>
      <c r="R593" s="629"/>
      <c r="S593" s="629"/>
      <c r="T593" s="629"/>
      <c r="U593" s="629"/>
      <c r="V593" s="629"/>
      <c r="W593" s="629"/>
      <c r="X593" s="629"/>
      <c r="Y593" s="629"/>
      <c r="Z593" s="629"/>
      <c r="AA593" s="629"/>
      <c r="AB593" s="629"/>
      <c r="AC593" s="629"/>
      <c r="AD593" s="629"/>
      <c r="AE593" s="629"/>
    </row>
    <row r="594" spans="1:31" s="628" customFormat="1" ht="13" x14ac:dyDescent="0.3">
      <c r="A594" s="646"/>
      <c r="B594" s="689"/>
      <c r="C594" s="630"/>
      <c r="D594" s="668"/>
      <c r="E594" s="691"/>
      <c r="F594" s="629"/>
      <c r="G594" s="629"/>
      <c r="H594" s="629"/>
      <c r="I594" s="691"/>
      <c r="J594" s="629"/>
      <c r="K594" s="629"/>
      <c r="L594" s="629"/>
      <c r="M594" s="629"/>
      <c r="N594" s="629"/>
      <c r="O594" s="629"/>
      <c r="P594" s="629"/>
      <c r="Q594" s="629"/>
      <c r="R594" s="629"/>
      <c r="S594" s="629"/>
      <c r="T594" s="629"/>
      <c r="U594" s="629"/>
      <c r="V594" s="629"/>
      <c r="W594" s="629"/>
      <c r="X594" s="629"/>
      <c r="Y594" s="629"/>
      <c r="Z594" s="629"/>
      <c r="AA594" s="629"/>
      <c r="AB594" s="629"/>
      <c r="AC594" s="629"/>
      <c r="AD594" s="629"/>
      <c r="AE594" s="629"/>
    </row>
    <row r="595" spans="1:31" s="628" customFormat="1" ht="13" x14ac:dyDescent="0.3">
      <c r="A595" s="646"/>
      <c r="B595" s="689"/>
      <c r="C595" s="630"/>
      <c r="D595" s="668"/>
      <c r="E595" s="691"/>
      <c r="F595" s="629"/>
      <c r="G595" s="629"/>
      <c r="H595" s="629"/>
      <c r="I595" s="691"/>
      <c r="J595" s="629"/>
      <c r="K595" s="629"/>
      <c r="L595" s="629"/>
      <c r="M595" s="629"/>
      <c r="N595" s="629"/>
      <c r="O595" s="629"/>
      <c r="P595" s="629"/>
      <c r="Q595" s="629"/>
      <c r="R595" s="629"/>
      <c r="S595" s="629"/>
      <c r="T595" s="629"/>
      <c r="U595" s="629"/>
      <c r="V595" s="629"/>
      <c r="W595" s="629"/>
      <c r="X595" s="629"/>
      <c r="Y595" s="629"/>
      <c r="Z595" s="629"/>
      <c r="AA595" s="629"/>
      <c r="AB595" s="629"/>
      <c r="AC595" s="629"/>
      <c r="AD595" s="629"/>
      <c r="AE595" s="629"/>
    </row>
    <row r="596" spans="1:31" s="628" customFormat="1" ht="13" x14ac:dyDescent="0.3">
      <c r="A596" s="646"/>
      <c r="B596" s="689"/>
      <c r="C596" s="630"/>
      <c r="D596" s="668"/>
      <c r="E596" s="691"/>
      <c r="F596" s="629"/>
      <c r="G596" s="629"/>
      <c r="H596" s="629"/>
      <c r="I596" s="691"/>
      <c r="J596" s="629"/>
      <c r="K596" s="629"/>
      <c r="L596" s="629"/>
      <c r="M596" s="629"/>
      <c r="N596" s="629"/>
      <c r="O596" s="629"/>
      <c r="P596" s="629"/>
      <c r="Q596" s="629"/>
      <c r="R596" s="629"/>
      <c r="S596" s="629"/>
      <c r="T596" s="629"/>
      <c r="U596" s="629"/>
      <c r="V596" s="629"/>
      <c r="W596" s="629"/>
      <c r="X596" s="629"/>
      <c r="Y596" s="629"/>
      <c r="Z596" s="629"/>
      <c r="AA596" s="629"/>
      <c r="AB596" s="629"/>
      <c r="AC596" s="629"/>
      <c r="AD596" s="629"/>
      <c r="AE596" s="629"/>
    </row>
    <row r="597" spans="1:31" s="628" customFormat="1" ht="13" x14ac:dyDescent="0.3">
      <c r="A597" s="646"/>
      <c r="B597" s="689"/>
      <c r="C597" s="630"/>
      <c r="D597" s="668"/>
      <c r="E597" s="691"/>
      <c r="F597" s="629"/>
      <c r="G597" s="629"/>
      <c r="H597" s="629"/>
      <c r="I597" s="691"/>
      <c r="J597" s="629"/>
      <c r="K597" s="629"/>
      <c r="L597" s="629"/>
      <c r="M597" s="629"/>
      <c r="N597" s="629"/>
      <c r="O597" s="629"/>
      <c r="P597" s="629"/>
      <c r="Q597" s="629"/>
      <c r="R597" s="629"/>
      <c r="S597" s="629"/>
      <c r="T597" s="629"/>
      <c r="U597" s="629"/>
      <c r="V597" s="629"/>
      <c r="W597" s="629"/>
      <c r="X597" s="629"/>
      <c r="Y597" s="629"/>
      <c r="Z597" s="629"/>
      <c r="AA597" s="629"/>
      <c r="AB597" s="629"/>
      <c r="AC597" s="629"/>
      <c r="AD597" s="629"/>
      <c r="AE597" s="629"/>
    </row>
    <row r="598" spans="1:31" s="628" customFormat="1" ht="13" x14ac:dyDescent="0.3">
      <c r="A598" s="646"/>
      <c r="B598" s="689"/>
      <c r="C598" s="630"/>
      <c r="D598" s="668"/>
      <c r="E598" s="691"/>
      <c r="F598" s="629"/>
      <c r="G598" s="629"/>
      <c r="H598" s="629"/>
      <c r="I598" s="691"/>
      <c r="J598" s="629"/>
      <c r="K598" s="629"/>
      <c r="L598" s="629"/>
      <c r="M598" s="629"/>
      <c r="N598" s="629"/>
      <c r="O598" s="629"/>
      <c r="P598" s="629"/>
      <c r="Q598" s="629"/>
      <c r="R598" s="629"/>
      <c r="S598" s="629"/>
      <c r="T598" s="629"/>
      <c r="U598" s="629"/>
      <c r="V598" s="629"/>
      <c r="W598" s="629"/>
      <c r="X598" s="629"/>
      <c r="Y598" s="629"/>
      <c r="Z598" s="629"/>
      <c r="AA598" s="629"/>
      <c r="AB598" s="629"/>
      <c r="AC598" s="629"/>
      <c r="AD598" s="629"/>
      <c r="AE598" s="629"/>
    </row>
    <row r="599" spans="1:31" s="628" customFormat="1" ht="13" x14ac:dyDescent="0.3">
      <c r="A599" s="646"/>
      <c r="B599" s="689"/>
      <c r="C599" s="630"/>
      <c r="D599" s="668"/>
      <c r="E599" s="691"/>
      <c r="F599" s="629"/>
      <c r="G599" s="629"/>
      <c r="H599" s="629"/>
      <c r="I599" s="691"/>
      <c r="J599" s="629"/>
      <c r="K599" s="629"/>
      <c r="L599" s="629"/>
      <c r="M599" s="629"/>
      <c r="N599" s="629"/>
      <c r="O599" s="629"/>
      <c r="P599" s="629"/>
      <c r="Q599" s="629"/>
      <c r="R599" s="629"/>
      <c r="S599" s="629"/>
      <c r="T599" s="629"/>
      <c r="U599" s="629"/>
      <c r="V599" s="629"/>
      <c r="W599" s="629"/>
      <c r="X599" s="629"/>
      <c r="Y599" s="629"/>
      <c r="Z599" s="629"/>
      <c r="AA599" s="629"/>
      <c r="AB599" s="629"/>
      <c r="AC599" s="629"/>
      <c r="AD599" s="629"/>
      <c r="AE599" s="629"/>
    </row>
    <row r="600" spans="1:31" s="628" customFormat="1" ht="13" x14ac:dyDescent="0.3">
      <c r="A600" s="646"/>
      <c r="B600" s="689"/>
      <c r="C600" s="630"/>
      <c r="D600" s="668"/>
      <c r="E600" s="691"/>
      <c r="F600" s="629"/>
      <c r="G600" s="629"/>
      <c r="H600" s="629"/>
      <c r="I600" s="691"/>
      <c r="J600" s="629"/>
      <c r="K600" s="629"/>
      <c r="L600" s="629"/>
      <c r="M600" s="629"/>
      <c r="N600" s="629"/>
      <c r="O600" s="629"/>
      <c r="P600" s="629"/>
      <c r="Q600" s="629"/>
      <c r="R600" s="629"/>
      <c r="S600" s="629"/>
      <c r="T600" s="629"/>
      <c r="U600" s="629"/>
      <c r="V600" s="629"/>
      <c r="W600" s="629"/>
      <c r="X600" s="629"/>
      <c r="Y600" s="629"/>
      <c r="Z600" s="629"/>
      <c r="AA600" s="629"/>
      <c r="AB600" s="629"/>
      <c r="AC600" s="629"/>
      <c r="AD600" s="629"/>
      <c r="AE600" s="629"/>
    </row>
    <row r="601" spans="1:31" s="628" customFormat="1" ht="13" x14ac:dyDescent="0.3">
      <c r="A601" s="646"/>
      <c r="B601" s="689"/>
      <c r="C601" s="630"/>
      <c r="D601" s="668"/>
      <c r="E601" s="691"/>
      <c r="F601" s="629"/>
      <c r="G601" s="629"/>
      <c r="H601" s="629"/>
      <c r="I601" s="691"/>
      <c r="J601" s="629"/>
      <c r="K601" s="629"/>
      <c r="L601" s="629"/>
      <c r="M601" s="629"/>
      <c r="N601" s="629"/>
      <c r="O601" s="629"/>
      <c r="P601" s="629"/>
      <c r="Q601" s="629"/>
      <c r="R601" s="629"/>
      <c r="S601" s="629"/>
      <c r="T601" s="629"/>
      <c r="U601" s="629"/>
      <c r="V601" s="629"/>
      <c r="W601" s="629"/>
      <c r="X601" s="629"/>
      <c r="Y601" s="629"/>
      <c r="Z601" s="629"/>
      <c r="AA601" s="629"/>
      <c r="AB601" s="629"/>
      <c r="AC601" s="629"/>
      <c r="AD601" s="629"/>
      <c r="AE601" s="629"/>
    </row>
    <row r="602" spans="1:31" s="628" customFormat="1" ht="13" x14ac:dyDescent="0.3">
      <c r="A602" s="646"/>
      <c r="B602" s="689"/>
      <c r="C602" s="630"/>
      <c r="D602" s="668"/>
      <c r="E602" s="691"/>
      <c r="F602" s="629"/>
      <c r="G602" s="629"/>
      <c r="H602" s="629"/>
      <c r="I602" s="691"/>
      <c r="J602" s="629"/>
      <c r="K602" s="629"/>
      <c r="L602" s="629"/>
      <c r="M602" s="629"/>
      <c r="N602" s="629"/>
      <c r="O602" s="629"/>
      <c r="P602" s="629"/>
      <c r="Q602" s="629"/>
      <c r="R602" s="629"/>
      <c r="S602" s="629"/>
      <c r="T602" s="629"/>
      <c r="U602" s="629"/>
      <c r="V602" s="629"/>
      <c r="W602" s="629"/>
      <c r="X602" s="629"/>
      <c r="Y602" s="629"/>
      <c r="Z602" s="629"/>
      <c r="AA602" s="629"/>
      <c r="AB602" s="629"/>
      <c r="AC602" s="629"/>
      <c r="AD602" s="629"/>
      <c r="AE602" s="629"/>
    </row>
    <row r="603" spans="1:31" s="628" customFormat="1" ht="13" x14ac:dyDescent="0.3">
      <c r="A603" s="646"/>
      <c r="B603" s="689"/>
      <c r="C603" s="630"/>
      <c r="D603" s="668"/>
      <c r="E603" s="691"/>
      <c r="F603" s="629"/>
      <c r="G603" s="629"/>
      <c r="H603" s="629"/>
      <c r="I603" s="691"/>
      <c r="J603" s="629"/>
      <c r="K603" s="629"/>
      <c r="L603" s="629"/>
      <c r="M603" s="629"/>
      <c r="N603" s="629"/>
      <c r="O603" s="629"/>
      <c r="P603" s="629"/>
      <c r="Q603" s="629"/>
      <c r="R603" s="629"/>
      <c r="S603" s="629"/>
      <c r="T603" s="629"/>
      <c r="U603" s="629"/>
      <c r="V603" s="629"/>
      <c r="W603" s="629"/>
      <c r="X603" s="629"/>
      <c r="Y603" s="629"/>
      <c r="Z603" s="629"/>
      <c r="AA603" s="629"/>
      <c r="AB603" s="629"/>
      <c r="AC603" s="629"/>
      <c r="AD603" s="629"/>
      <c r="AE603" s="629"/>
    </row>
    <row r="604" spans="1:31" s="628" customFormat="1" ht="13" x14ac:dyDescent="0.3">
      <c r="A604" s="646"/>
      <c r="B604" s="689"/>
      <c r="C604" s="630"/>
      <c r="D604" s="668"/>
      <c r="E604" s="691"/>
      <c r="F604" s="629"/>
      <c r="G604" s="629"/>
      <c r="H604" s="629"/>
      <c r="I604" s="691"/>
      <c r="J604" s="629"/>
      <c r="K604" s="629"/>
      <c r="L604" s="629"/>
      <c r="M604" s="629"/>
      <c r="N604" s="629"/>
      <c r="O604" s="629"/>
      <c r="P604" s="629"/>
      <c r="Q604" s="629"/>
      <c r="R604" s="629"/>
      <c r="S604" s="629"/>
      <c r="T604" s="629"/>
      <c r="U604" s="629"/>
      <c r="V604" s="629"/>
      <c r="W604" s="629"/>
      <c r="X604" s="629"/>
      <c r="Y604" s="629"/>
      <c r="Z604" s="629"/>
      <c r="AA604" s="629"/>
      <c r="AB604" s="629"/>
      <c r="AC604" s="629"/>
      <c r="AD604" s="629"/>
      <c r="AE604" s="629"/>
    </row>
    <row r="605" spans="1:31" s="628" customFormat="1" ht="13" x14ac:dyDescent="0.3">
      <c r="A605" s="646"/>
      <c r="B605" s="689"/>
      <c r="C605" s="630"/>
      <c r="D605" s="668"/>
      <c r="E605" s="691"/>
      <c r="F605" s="629"/>
      <c r="G605" s="629"/>
      <c r="H605" s="629"/>
      <c r="I605" s="691"/>
      <c r="J605" s="629"/>
      <c r="K605" s="629"/>
      <c r="L605" s="629"/>
      <c r="M605" s="629"/>
      <c r="N605" s="629"/>
      <c r="O605" s="629"/>
      <c r="P605" s="629"/>
      <c r="Q605" s="629"/>
      <c r="R605" s="629"/>
      <c r="S605" s="629"/>
      <c r="T605" s="629"/>
      <c r="U605" s="629"/>
      <c r="V605" s="629"/>
      <c r="W605" s="629"/>
      <c r="X605" s="629"/>
      <c r="Y605" s="629"/>
      <c r="Z605" s="629"/>
      <c r="AA605" s="629"/>
      <c r="AB605" s="629"/>
      <c r="AC605" s="629"/>
      <c r="AD605" s="629"/>
      <c r="AE605" s="629"/>
    </row>
    <row r="606" spans="1:31" s="628" customFormat="1" ht="13" x14ac:dyDescent="0.3">
      <c r="A606" s="646"/>
      <c r="B606" s="689"/>
      <c r="C606" s="630"/>
      <c r="D606" s="668"/>
      <c r="E606" s="691"/>
      <c r="F606" s="629"/>
      <c r="G606" s="629"/>
      <c r="H606" s="629"/>
      <c r="I606" s="691"/>
      <c r="J606" s="629"/>
      <c r="K606" s="629"/>
      <c r="L606" s="629"/>
      <c r="M606" s="629"/>
      <c r="N606" s="629"/>
      <c r="O606" s="629"/>
      <c r="P606" s="629"/>
      <c r="Q606" s="629"/>
      <c r="R606" s="629"/>
      <c r="S606" s="629"/>
      <c r="T606" s="629"/>
      <c r="U606" s="629"/>
      <c r="V606" s="629"/>
      <c r="W606" s="629"/>
      <c r="X606" s="629"/>
      <c r="Y606" s="629"/>
      <c r="Z606" s="629"/>
      <c r="AA606" s="629"/>
      <c r="AB606" s="629"/>
      <c r="AC606" s="629"/>
      <c r="AD606" s="629"/>
      <c r="AE606" s="629"/>
    </row>
    <row r="607" spans="1:31" s="628" customFormat="1" ht="13" x14ac:dyDescent="0.3">
      <c r="A607" s="646"/>
      <c r="B607" s="689"/>
      <c r="C607" s="630"/>
      <c r="D607" s="668"/>
      <c r="E607" s="691"/>
      <c r="F607" s="629"/>
      <c r="G607" s="629"/>
      <c r="H607" s="629"/>
      <c r="I607" s="691"/>
      <c r="J607" s="629"/>
      <c r="K607" s="629"/>
      <c r="L607" s="629"/>
      <c r="M607" s="629"/>
      <c r="N607" s="629"/>
      <c r="O607" s="629"/>
      <c r="P607" s="629"/>
      <c r="Q607" s="629"/>
      <c r="R607" s="629"/>
      <c r="S607" s="629"/>
      <c r="T607" s="629"/>
      <c r="U607" s="629"/>
      <c r="V607" s="629"/>
      <c r="W607" s="629"/>
      <c r="X607" s="629"/>
      <c r="Y607" s="629"/>
      <c r="Z607" s="629"/>
      <c r="AA607" s="629"/>
      <c r="AB607" s="629"/>
      <c r="AC607" s="629"/>
      <c r="AD607" s="629"/>
      <c r="AE607" s="629"/>
    </row>
    <row r="608" spans="1:31" s="628" customFormat="1" ht="13" x14ac:dyDescent="0.3">
      <c r="A608" s="646"/>
      <c r="B608" s="689"/>
      <c r="C608" s="630"/>
      <c r="D608" s="668"/>
      <c r="E608" s="691"/>
      <c r="F608" s="629"/>
      <c r="G608" s="629"/>
      <c r="H608" s="629"/>
      <c r="I608" s="691"/>
      <c r="J608" s="629"/>
      <c r="K608" s="629"/>
      <c r="L608" s="629"/>
      <c r="M608" s="629"/>
      <c r="N608" s="629"/>
      <c r="O608" s="629"/>
      <c r="P608" s="629"/>
      <c r="Q608" s="629"/>
      <c r="R608" s="629"/>
      <c r="S608" s="629"/>
      <c r="T608" s="629"/>
      <c r="U608" s="629"/>
      <c r="V608" s="629"/>
      <c r="W608" s="629"/>
      <c r="X608" s="629"/>
      <c r="Y608" s="629"/>
      <c r="Z608" s="629"/>
      <c r="AA608" s="629"/>
      <c r="AB608" s="629"/>
      <c r="AC608" s="629"/>
      <c r="AD608" s="629"/>
      <c r="AE608" s="629"/>
    </row>
    <row r="609" spans="1:31" s="628" customFormat="1" ht="13" x14ac:dyDescent="0.3">
      <c r="A609" s="646"/>
      <c r="B609" s="689"/>
      <c r="C609" s="630"/>
      <c r="D609" s="668"/>
      <c r="E609" s="691"/>
      <c r="F609" s="629"/>
      <c r="G609" s="629"/>
      <c r="H609" s="629"/>
      <c r="I609" s="691"/>
      <c r="J609" s="629"/>
      <c r="K609" s="629"/>
      <c r="L609" s="629"/>
      <c r="M609" s="629"/>
      <c r="N609" s="629"/>
      <c r="O609" s="629"/>
      <c r="P609" s="629"/>
      <c r="Q609" s="629"/>
      <c r="R609" s="629"/>
      <c r="S609" s="629"/>
      <c r="T609" s="629"/>
      <c r="U609" s="629"/>
      <c r="V609" s="629"/>
      <c r="W609" s="629"/>
      <c r="X609" s="629"/>
      <c r="Y609" s="629"/>
      <c r="Z609" s="629"/>
      <c r="AA609" s="629"/>
      <c r="AB609" s="629"/>
      <c r="AC609" s="629"/>
      <c r="AD609" s="629"/>
      <c r="AE609" s="629"/>
    </row>
    <row r="610" spans="1:31" s="628" customFormat="1" ht="13" x14ac:dyDescent="0.3">
      <c r="A610" s="646"/>
      <c r="B610" s="689"/>
      <c r="C610" s="630"/>
      <c r="D610" s="668"/>
      <c r="E610" s="691"/>
      <c r="F610" s="629"/>
      <c r="G610" s="629"/>
      <c r="H610" s="629"/>
      <c r="I610" s="691"/>
      <c r="J610" s="629"/>
      <c r="K610" s="629"/>
      <c r="L610" s="629"/>
      <c r="M610" s="629"/>
      <c r="N610" s="629"/>
      <c r="O610" s="629"/>
      <c r="P610" s="629"/>
      <c r="Q610" s="629"/>
      <c r="R610" s="629"/>
      <c r="S610" s="629"/>
      <c r="T610" s="629"/>
      <c r="U610" s="629"/>
      <c r="V610" s="629"/>
      <c r="W610" s="629"/>
      <c r="X610" s="629"/>
      <c r="Y610" s="629"/>
      <c r="Z610" s="629"/>
      <c r="AA610" s="629"/>
      <c r="AB610" s="629"/>
      <c r="AC610" s="629"/>
      <c r="AD610" s="629"/>
      <c r="AE610" s="629"/>
    </row>
    <row r="611" spans="1:31" s="628" customFormat="1" ht="13" x14ac:dyDescent="0.3">
      <c r="A611" s="646"/>
      <c r="B611" s="689"/>
      <c r="C611" s="630"/>
      <c r="D611" s="668"/>
      <c r="E611" s="691"/>
      <c r="F611" s="629"/>
      <c r="G611" s="629"/>
      <c r="H611" s="629"/>
      <c r="I611" s="691"/>
      <c r="J611" s="629"/>
      <c r="K611" s="629"/>
      <c r="L611" s="629"/>
      <c r="M611" s="629"/>
      <c r="N611" s="629"/>
      <c r="O611" s="629"/>
      <c r="P611" s="629"/>
      <c r="Q611" s="629"/>
      <c r="R611" s="629"/>
      <c r="S611" s="629"/>
      <c r="T611" s="629"/>
      <c r="U611" s="629"/>
      <c r="V611" s="629"/>
      <c r="W611" s="629"/>
      <c r="X611" s="629"/>
      <c r="Y611" s="629"/>
      <c r="Z611" s="629"/>
      <c r="AA611" s="629"/>
      <c r="AB611" s="629"/>
      <c r="AC611" s="629"/>
      <c r="AD611" s="629"/>
      <c r="AE611" s="629"/>
    </row>
    <row r="612" spans="1:31" s="628" customFormat="1" ht="13" x14ac:dyDescent="0.3">
      <c r="A612" s="646"/>
      <c r="B612" s="689"/>
      <c r="C612" s="630"/>
      <c r="D612" s="668"/>
      <c r="E612" s="691"/>
      <c r="F612" s="629"/>
      <c r="G612" s="629"/>
      <c r="H612" s="629"/>
      <c r="I612" s="691"/>
      <c r="J612" s="629"/>
      <c r="K612" s="629"/>
      <c r="L612" s="629"/>
      <c r="M612" s="629"/>
      <c r="N612" s="629"/>
      <c r="O612" s="629"/>
      <c r="P612" s="629"/>
      <c r="Q612" s="629"/>
      <c r="R612" s="629"/>
      <c r="S612" s="629"/>
      <c r="T612" s="629"/>
      <c r="U612" s="629"/>
      <c r="V612" s="629"/>
      <c r="W612" s="629"/>
      <c r="X612" s="629"/>
      <c r="Y612" s="629"/>
      <c r="Z612" s="629"/>
      <c r="AA612" s="629"/>
      <c r="AB612" s="629"/>
      <c r="AC612" s="629"/>
      <c r="AD612" s="629"/>
      <c r="AE612" s="629"/>
    </row>
    <row r="613" spans="1:31" s="628" customFormat="1" ht="13" x14ac:dyDescent="0.3">
      <c r="A613" s="646"/>
      <c r="B613" s="689"/>
      <c r="C613" s="630"/>
      <c r="D613" s="668"/>
      <c r="E613" s="691"/>
      <c r="F613" s="629"/>
      <c r="G613" s="629"/>
      <c r="H613" s="629"/>
      <c r="I613" s="691"/>
      <c r="J613" s="629"/>
      <c r="K613" s="629"/>
      <c r="L613" s="629"/>
      <c r="M613" s="629"/>
      <c r="N613" s="629"/>
      <c r="O613" s="629"/>
      <c r="P613" s="629"/>
      <c r="Q613" s="629"/>
      <c r="R613" s="629"/>
      <c r="S613" s="629"/>
      <c r="T613" s="629"/>
      <c r="U613" s="629"/>
      <c r="V613" s="629"/>
      <c r="W613" s="629"/>
      <c r="X613" s="629"/>
      <c r="Y613" s="629"/>
      <c r="Z613" s="629"/>
      <c r="AA613" s="629"/>
      <c r="AB613" s="629"/>
      <c r="AC613" s="629"/>
      <c r="AD613" s="629"/>
      <c r="AE613" s="629"/>
    </row>
    <row r="614" spans="1:31" s="628" customFormat="1" ht="13" x14ac:dyDescent="0.3">
      <c r="A614" s="646"/>
      <c r="B614" s="689"/>
      <c r="C614" s="630"/>
      <c r="D614" s="668"/>
      <c r="E614" s="691"/>
      <c r="F614" s="629"/>
      <c r="G614" s="629"/>
      <c r="H614" s="629"/>
      <c r="I614" s="691"/>
      <c r="J614" s="629"/>
      <c r="K614" s="629"/>
      <c r="L614" s="629"/>
      <c r="M614" s="629"/>
      <c r="N614" s="629"/>
      <c r="O614" s="629"/>
      <c r="P614" s="629"/>
      <c r="Q614" s="629"/>
      <c r="R614" s="629"/>
      <c r="S614" s="629"/>
      <c r="T614" s="629"/>
      <c r="U614" s="629"/>
      <c r="V614" s="629"/>
      <c r="W614" s="629"/>
      <c r="X614" s="629"/>
      <c r="Y614" s="629"/>
      <c r="Z614" s="629"/>
      <c r="AA614" s="629"/>
      <c r="AB614" s="629"/>
      <c r="AC614" s="629"/>
      <c r="AD614" s="629"/>
      <c r="AE614" s="629"/>
    </row>
    <row r="615" spans="1:31" s="628" customFormat="1" ht="13" x14ac:dyDescent="0.3">
      <c r="A615" s="646"/>
      <c r="B615" s="689"/>
      <c r="C615" s="630"/>
      <c r="D615" s="668"/>
      <c r="E615" s="691"/>
      <c r="F615" s="629"/>
      <c r="G615" s="629"/>
      <c r="H615" s="629"/>
      <c r="I615" s="691"/>
      <c r="J615" s="629"/>
      <c r="K615" s="629"/>
      <c r="L615" s="629"/>
      <c r="M615" s="629"/>
      <c r="N615" s="629"/>
      <c r="O615" s="629"/>
      <c r="P615" s="629"/>
      <c r="Q615" s="629"/>
      <c r="R615" s="629"/>
      <c r="S615" s="629"/>
      <c r="T615" s="629"/>
      <c r="U615" s="629"/>
      <c r="V615" s="629"/>
      <c r="W615" s="629"/>
      <c r="X615" s="629"/>
      <c r="Y615" s="629"/>
      <c r="Z615" s="629"/>
      <c r="AA615" s="629"/>
      <c r="AB615" s="629"/>
      <c r="AC615" s="629"/>
      <c r="AD615" s="629"/>
      <c r="AE615" s="629"/>
    </row>
    <row r="616" spans="1:31" s="628" customFormat="1" ht="13" x14ac:dyDescent="0.3">
      <c r="A616" s="646"/>
      <c r="B616" s="689"/>
      <c r="C616" s="630"/>
      <c r="D616" s="668"/>
      <c r="E616" s="691"/>
      <c r="F616" s="629"/>
      <c r="G616" s="629"/>
      <c r="H616" s="629"/>
      <c r="I616" s="691"/>
      <c r="J616" s="629"/>
      <c r="K616" s="629"/>
      <c r="L616" s="629"/>
      <c r="M616" s="629"/>
      <c r="N616" s="629"/>
      <c r="O616" s="629"/>
      <c r="P616" s="629"/>
      <c r="Q616" s="629"/>
      <c r="R616" s="629"/>
      <c r="S616" s="629"/>
      <c r="T616" s="629"/>
      <c r="U616" s="629"/>
      <c r="V616" s="629"/>
      <c r="W616" s="629"/>
      <c r="X616" s="629"/>
      <c r="Y616" s="629"/>
      <c r="Z616" s="629"/>
      <c r="AA616" s="629"/>
      <c r="AB616" s="629"/>
      <c r="AC616" s="629"/>
      <c r="AD616" s="629"/>
      <c r="AE616" s="629"/>
    </row>
    <row r="617" spans="1:31" s="628" customFormat="1" ht="13" x14ac:dyDescent="0.3">
      <c r="A617" s="646"/>
      <c r="B617" s="689"/>
      <c r="C617" s="630"/>
      <c r="D617" s="668"/>
      <c r="E617" s="691"/>
      <c r="F617" s="629"/>
      <c r="G617" s="629"/>
      <c r="H617" s="629"/>
      <c r="I617" s="691"/>
      <c r="J617" s="629"/>
      <c r="K617" s="629"/>
      <c r="L617" s="629"/>
      <c r="M617" s="629"/>
      <c r="N617" s="629"/>
      <c r="O617" s="629"/>
      <c r="P617" s="629"/>
      <c r="Q617" s="629"/>
      <c r="R617" s="629"/>
      <c r="S617" s="629"/>
      <c r="T617" s="629"/>
      <c r="U617" s="629"/>
      <c r="V617" s="629"/>
      <c r="W617" s="629"/>
      <c r="X617" s="629"/>
      <c r="Y617" s="629"/>
      <c r="Z617" s="629"/>
      <c r="AA617" s="629"/>
      <c r="AB617" s="629"/>
      <c r="AC617" s="629"/>
      <c r="AD617" s="629"/>
      <c r="AE617" s="629"/>
    </row>
    <row r="618" spans="1:31" s="628" customFormat="1" ht="13" x14ac:dyDescent="0.3">
      <c r="A618" s="646"/>
      <c r="B618" s="689"/>
      <c r="C618" s="630"/>
      <c r="D618" s="668"/>
      <c r="E618" s="691"/>
      <c r="F618" s="629"/>
      <c r="G618" s="629"/>
      <c r="H618" s="629"/>
      <c r="I618" s="691"/>
      <c r="J618" s="629"/>
      <c r="K618" s="629"/>
      <c r="L618" s="629"/>
      <c r="M618" s="629"/>
      <c r="N618" s="629"/>
      <c r="O618" s="629"/>
      <c r="P618" s="629"/>
      <c r="Q618" s="629"/>
      <c r="R618" s="629"/>
      <c r="S618" s="629"/>
      <c r="T618" s="629"/>
      <c r="U618" s="629"/>
      <c r="V618" s="629"/>
      <c r="W618" s="629"/>
      <c r="X618" s="629"/>
      <c r="Y618" s="629"/>
      <c r="Z618" s="629"/>
      <c r="AA618" s="629"/>
      <c r="AB618" s="629"/>
      <c r="AC618" s="629"/>
      <c r="AD618" s="629"/>
      <c r="AE618" s="629"/>
    </row>
    <row r="619" spans="1:31" s="628" customFormat="1" ht="13" x14ac:dyDescent="0.3">
      <c r="A619" s="646"/>
      <c r="B619" s="689"/>
      <c r="C619" s="630"/>
      <c r="D619" s="668"/>
      <c r="E619" s="691"/>
      <c r="F619" s="629"/>
      <c r="G619" s="629"/>
      <c r="H619" s="629"/>
      <c r="I619" s="691"/>
      <c r="J619" s="629"/>
      <c r="K619" s="629"/>
      <c r="L619" s="629"/>
      <c r="M619" s="629"/>
      <c r="N619" s="629"/>
      <c r="O619" s="629"/>
      <c r="P619" s="629"/>
      <c r="Q619" s="629"/>
      <c r="R619" s="629"/>
      <c r="S619" s="629"/>
      <c r="T619" s="629"/>
      <c r="U619" s="629"/>
      <c r="V619" s="629"/>
      <c r="W619" s="629"/>
      <c r="X619" s="629"/>
      <c r="Y619" s="629"/>
      <c r="Z619" s="629"/>
      <c r="AA619" s="629"/>
      <c r="AB619" s="629"/>
      <c r="AC619" s="629"/>
      <c r="AD619" s="629"/>
      <c r="AE619" s="629"/>
    </row>
    <row r="620" spans="1:31" ht="13" x14ac:dyDescent="0.3">
      <c r="A620" s="646"/>
      <c r="B620" s="689"/>
      <c r="C620" s="630"/>
    </row>
    <row r="621" spans="1:31" ht="13" x14ac:dyDescent="0.3">
      <c r="A621" s="646"/>
      <c r="B621" s="689"/>
      <c r="C621" s="630"/>
    </row>
    <row r="622" spans="1:31" ht="13" x14ac:dyDescent="0.3">
      <c r="A622" s="646"/>
      <c r="B622" s="689"/>
      <c r="C622" s="630"/>
    </row>
    <row r="623" spans="1:31" ht="13" x14ac:dyDescent="0.3">
      <c r="A623" s="646"/>
      <c r="B623" s="689"/>
      <c r="C623" s="630"/>
    </row>
    <row r="624" spans="1:31" ht="13" x14ac:dyDescent="0.3">
      <c r="A624" s="646"/>
      <c r="B624" s="689"/>
      <c r="C624" s="630"/>
    </row>
    <row r="625" spans="1:3" ht="13" x14ac:dyDescent="0.3">
      <c r="A625" s="646"/>
      <c r="B625" s="689"/>
      <c r="C625" s="630"/>
    </row>
    <row r="626" spans="1:3" ht="13" x14ac:dyDescent="0.3">
      <c r="A626" s="646"/>
      <c r="B626" s="689"/>
      <c r="C626" s="630"/>
    </row>
    <row r="627" spans="1:3" ht="13" x14ac:dyDescent="0.3">
      <c r="A627" s="646"/>
      <c r="B627" s="689"/>
      <c r="C627" s="630"/>
    </row>
    <row r="628" spans="1:3" ht="13" x14ac:dyDescent="0.3">
      <c r="A628" s="646"/>
      <c r="B628" s="689"/>
      <c r="C628" s="630"/>
    </row>
    <row r="629" spans="1:3" ht="13" x14ac:dyDescent="0.3">
      <c r="A629" s="646"/>
      <c r="B629" s="689"/>
      <c r="C629" s="630"/>
    </row>
    <row r="630" spans="1:3" ht="13" x14ac:dyDescent="0.3">
      <c r="A630" s="646"/>
      <c r="B630" s="689"/>
      <c r="C630" s="630"/>
    </row>
  </sheetData>
  <autoFilter ref="B1:B630" xr:uid="{00000000-0009-0000-0000-000002000000}"/>
  <mergeCells count="15">
    <mergeCell ref="G46:H46"/>
    <mergeCell ref="G48:H48"/>
    <mergeCell ref="B36:C36"/>
    <mergeCell ref="B37:H37"/>
    <mergeCell ref="G40:H40"/>
    <mergeCell ref="G42:H42"/>
    <mergeCell ref="G44:H44"/>
    <mergeCell ref="A1:H1"/>
    <mergeCell ref="A3:A4"/>
    <mergeCell ref="B3:B4"/>
    <mergeCell ref="C3:C4"/>
    <mergeCell ref="D3:D4"/>
    <mergeCell ref="E3:F3"/>
    <mergeCell ref="G3:G4"/>
    <mergeCell ref="H3:H4"/>
  </mergeCells>
  <pageMargins left="0.78740157480314965" right="0.39370078740157483" top="0.39370078740157483" bottom="0.39370078740157483" header="0.19685039370078741" footer="0.19685039370078741"/>
  <pageSetup paperSize="9" scale="72" fitToHeight="0" orientation="portrait" r:id="rId1"/>
  <headerFooter>
    <oddFooter>Страница 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/>
  <dimension ref="B1:O31"/>
  <sheetViews>
    <sheetView workbookViewId="0"/>
  </sheetViews>
  <sheetFormatPr defaultColWidth="13.54296875" defaultRowHeight="14.5" x14ac:dyDescent="0.35"/>
  <cols>
    <col min="1" max="1" width="0.7265625" style="387" customWidth="1"/>
    <col min="2" max="2" width="7.7265625" style="387" bestFit="1" customWidth="1"/>
    <col min="3" max="3" width="66.54296875" style="397" customWidth="1"/>
    <col min="4" max="4" width="5.7265625" style="387" bestFit="1" customWidth="1"/>
    <col min="5" max="5" width="8.81640625" style="387" bestFit="1" customWidth="1"/>
    <col min="6" max="6" width="6.7265625" style="387" bestFit="1" customWidth="1"/>
    <col min="7" max="7" width="9.453125" style="387" customWidth="1"/>
    <col min="8" max="8" width="9" style="387" bestFit="1" customWidth="1"/>
    <col min="9" max="9" width="12.54296875" style="387" bestFit="1" customWidth="1"/>
    <col min="10" max="10" width="14.54296875" style="387" bestFit="1" customWidth="1"/>
    <col min="11" max="11" width="0.81640625" style="387" customWidth="1"/>
    <col min="12" max="12" width="15.81640625" style="387" bestFit="1" customWidth="1"/>
    <col min="13" max="13" width="36.7265625" style="387" customWidth="1"/>
    <col min="14" max="14" width="1" style="387" customWidth="1"/>
    <col min="15" max="16384" width="13.54296875" style="387"/>
  </cols>
  <sheetData>
    <row r="1" spans="3:15" ht="15" thickBot="1" x14ac:dyDescent="0.4">
      <c r="C1" s="388"/>
      <c r="D1" s="386"/>
      <c r="E1" s="386"/>
      <c r="F1" s="386"/>
      <c r="G1" s="386"/>
      <c r="H1" s="386"/>
      <c r="I1" s="386"/>
      <c r="J1" s="386"/>
      <c r="K1" s="577"/>
      <c r="L1" s="578" t="s">
        <v>837</v>
      </c>
      <c r="M1" s="577"/>
      <c r="N1" s="563"/>
    </row>
    <row r="2" spans="3:15" ht="39" x14ac:dyDescent="0.35">
      <c r="C2" s="389" t="s">
        <v>682</v>
      </c>
      <c r="D2" s="390" t="s">
        <v>687</v>
      </c>
      <c r="E2" s="390" t="s">
        <v>11</v>
      </c>
      <c r="F2" s="390" t="s">
        <v>683</v>
      </c>
      <c r="G2" s="405" t="s">
        <v>690</v>
      </c>
      <c r="H2" s="406" t="s">
        <v>60</v>
      </c>
      <c r="I2" s="408" t="s">
        <v>61</v>
      </c>
      <c r="J2" s="407" t="s">
        <v>1163</v>
      </c>
      <c r="K2" s="581"/>
      <c r="L2" s="564" t="s">
        <v>62</v>
      </c>
      <c r="M2" s="565" t="s">
        <v>63</v>
      </c>
      <c r="N2" s="563"/>
      <c r="O2" s="579" t="s">
        <v>1750</v>
      </c>
    </row>
    <row r="3" spans="3:15" x14ac:dyDescent="0.35">
      <c r="C3" s="391" t="s">
        <v>883</v>
      </c>
      <c r="D3" s="392" t="s">
        <v>617</v>
      </c>
      <c r="E3" s="392" t="s">
        <v>46</v>
      </c>
      <c r="F3" s="392" t="s">
        <v>970</v>
      </c>
      <c r="G3" s="404">
        <v>5</v>
      </c>
      <c r="H3" s="423">
        <v>17198.54</v>
      </c>
      <c r="I3" s="426">
        <f t="shared" ref="I3:I18" si="0">H3*G3</f>
        <v>85992.700000000012</v>
      </c>
      <c r="J3" s="394" t="e">
        <f>INDEX(#REF!,MATCH(D3,#REF!,0))</f>
        <v>#REF!</v>
      </c>
      <c r="K3" s="582"/>
      <c r="L3" s="566">
        <f t="shared" ref="L3:L18" si="1">I3*Оборуд.</f>
        <v>288935.47200000001</v>
      </c>
      <c r="M3" s="567" t="s">
        <v>1152</v>
      </c>
      <c r="N3" s="563"/>
      <c r="O3" s="580" t="e">
        <f>INDEX(#REF!,MATCH(D3,#REF!,0))</f>
        <v>#REF!</v>
      </c>
    </row>
    <row r="4" spans="3:15" x14ac:dyDescent="0.35">
      <c r="C4" s="395"/>
      <c r="D4" s="392" t="s">
        <v>633</v>
      </c>
      <c r="E4" s="392" t="s">
        <v>46</v>
      </c>
      <c r="F4" s="392" t="s">
        <v>970</v>
      </c>
      <c r="G4" s="393">
        <v>1</v>
      </c>
      <c r="H4" s="424">
        <v>17199</v>
      </c>
      <c r="I4" s="427">
        <f t="shared" si="0"/>
        <v>17199</v>
      </c>
      <c r="J4" s="394" t="e">
        <f>INDEX(#REF!,MATCH(D4,#REF!,0))</f>
        <v>#REF!</v>
      </c>
      <c r="K4" s="582"/>
      <c r="L4" s="566">
        <f t="shared" si="1"/>
        <v>57788.639999999999</v>
      </c>
      <c r="M4" s="567" t="s">
        <v>1152</v>
      </c>
      <c r="N4" s="563"/>
      <c r="O4" s="580" t="e">
        <f>INDEX(#REF!,MATCH(D4,#REF!,0))</f>
        <v>#REF!</v>
      </c>
    </row>
    <row r="5" spans="3:15" ht="37.5" x14ac:dyDescent="0.35">
      <c r="C5" s="391" t="s">
        <v>130</v>
      </c>
      <c r="D5" s="392" t="s">
        <v>577</v>
      </c>
      <c r="E5" s="392" t="s">
        <v>43</v>
      </c>
      <c r="F5" s="392" t="s">
        <v>132</v>
      </c>
      <c r="G5" s="393">
        <v>1</v>
      </c>
      <c r="H5" s="424">
        <v>823707.73322080239</v>
      </c>
      <c r="I5" s="427">
        <f t="shared" si="0"/>
        <v>823707.73322080239</v>
      </c>
      <c r="J5" s="394" t="e">
        <f>INDEX(#REF!,MATCH(D5,#REF!,0))</f>
        <v>#REF!</v>
      </c>
      <c r="K5" s="582"/>
      <c r="L5" s="566">
        <f t="shared" si="1"/>
        <v>2767657.9836218958</v>
      </c>
      <c r="M5" s="567" t="s">
        <v>1153</v>
      </c>
      <c r="N5" s="563"/>
      <c r="O5" s="580" t="e">
        <f>INDEX(#REF!,MATCH(D5,#REF!,0))</f>
        <v>#REF!</v>
      </c>
    </row>
    <row r="6" spans="3:15" x14ac:dyDescent="0.35">
      <c r="C6" s="391" t="s">
        <v>1073</v>
      </c>
      <c r="D6" s="392" t="s">
        <v>556</v>
      </c>
      <c r="E6" s="392" t="s">
        <v>26</v>
      </c>
      <c r="F6" s="392" t="s">
        <v>970</v>
      </c>
      <c r="G6" s="393">
        <v>1</v>
      </c>
      <c r="H6" s="424">
        <v>371283.07720287354</v>
      </c>
      <c r="I6" s="427">
        <f t="shared" si="0"/>
        <v>371283.07720287354</v>
      </c>
      <c r="J6" s="394" t="e">
        <f>INDEX(#REF!,MATCH(D6,#REF!,0))</f>
        <v>#REF!</v>
      </c>
      <c r="K6" s="582"/>
      <c r="L6" s="566">
        <f t="shared" si="1"/>
        <v>1247511.1394016549</v>
      </c>
      <c r="M6" s="568" t="s">
        <v>1154</v>
      </c>
      <c r="N6" s="563"/>
      <c r="O6" s="588" t="e">
        <f>INDEX(#REF!,MATCH(D6,#REF!,0))</f>
        <v>#REF!</v>
      </c>
    </row>
    <row r="7" spans="3:15" ht="37.5" x14ac:dyDescent="0.35">
      <c r="C7" s="391" t="s">
        <v>1085</v>
      </c>
      <c r="D7" s="392" t="s">
        <v>560</v>
      </c>
      <c r="E7" s="392" t="s">
        <v>28</v>
      </c>
      <c r="F7" s="392" t="s">
        <v>970</v>
      </c>
      <c r="G7" s="393">
        <v>2</v>
      </c>
      <c r="H7" s="424">
        <f>508625*1.12/2.74</f>
        <v>207905.10948905107</v>
      </c>
      <c r="I7" s="427">
        <f t="shared" si="0"/>
        <v>415810.21897810214</v>
      </c>
      <c r="J7" s="394" t="e">
        <f>INDEX(#REF!,MATCH(D7,#REF!,0))</f>
        <v>#REF!</v>
      </c>
      <c r="K7" s="582"/>
      <c r="L7" s="566">
        <f t="shared" si="1"/>
        <v>1397122.3357664233</v>
      </c>
      <c r="M7" s="567" t="s">
        <v>1155</v>
      </c>
      <c r="N7" s="563"/>
      <c r="O7" s="580" t="e">
        <f>INDEX(#REF!,MATCH(D7,#REF!,0))</f>
        <v>#REF!</v>
      </c>
    </row>
    <row r="8" spans="3:15" ht="37.5" x14ac:dyDescent="0.35">
      <c r="C8" s="396" t="s">
        <v>1709</v>
      </c>
      <c r="D8" s="392" t="s">
        <v>555</v>
      </c>
      <c r="E8" s="392" t="s">
        <v>21</v>
      </c>
      <c r="F8" s="392" t="s">
        <v>970</v>
      </c>
      <c r="G8" s="393">
        <v>2</v>
      </c>
      <c r="H8" s="424">
        <f>396625*1.12/2.74</f>
        <v>162124.08759124088</v>
      </c>
      <c r="I8" s="427">
        <f t="shared" si="0"/>
        <v>324248.17518248176</v>
      </c>
      <c r="J8" s="394" t="e">
        <f>INDEX(#REF!,MATCH(D8,#REF!,0))</f>
        <v>#REF!</v>
      </c>
      <c r="K8" s="582"/>
      <c r="L8" s="566">
        <f t="shared" si="1"/>
        <v>1089473.8686131388</v>
      </c>
      <c r="M8" s="567" t="s">
        <v>1155</v>
      </c>
      <c r="N8" s="563"/>
      <c r="O8" s="580" t="e">
        <f>INDEX(#REF!,MATCH(D8,#REF!,0))</f>
        <v>#REF!</v>
      </c>
    </row>
    <row r="9" spans="3:15" ht="37.5" x14ac:dyDescent="0.35">
      <c r="C9" s="396" t="s">
        <v>68</v>
      </c>
      <c r="D9" s="392" t="s">
        <v>564</v>
      </c>
      <c r="E9" s="392" t="s">
        <v>32</v>
      </c>
      <c r="F9" s="392" t="s">
        <v>970</v>
      </c>
      <c r="G9" s="393">
        <v>1</v>
      </c>
      <c r="H9" s="424">
        <v>197973.0906610894</v>
      </c>
      <c r="I9" s="427">
        <f t="shared" si="0"/>
        <v>197973.0906610894</v>
      </c>
      <c r="J9" s="394" t="e">
        <f>INDEX(#REF!,MATCH(D9,#REF!,0))</f>
        <v>#REF!</v>
      </c>
      <c r="K9" s="582"/>
      <c r="L9" s="566">
        <f t="shared" si="1"/>
        <v>665189.58462126041</v>
      </c>
      <c r="M9" s="567" t="s">
        <v>1156</v>
      </c>
      <c r="N9" s="563"/>
      <c r="O9" s="580" t="e">
        <f>INDEX(#REF!,MATCH(D9,#REF!,0))</f>
        <v>#REF!</v>
      </c>
    </row>
    <row r="10" spans="3:15" ht="37.5" x14ac:dyDescent="0.35">
      <c r="C10" s="391" t="s">
        <v>1702</v>
      </c>
      <c r="D10" s="392" t="s">
        <v>554</v>
      </c>
      <c r="E10" s="392" t="s">
        <v>20</v>
      </c>
      <c r="F10" s="392" t="s">
        <v>970</v>
      </c>
      <c r="G10" s="393">
        <v>1</v>
      </c>
      <c r="H10" s="424">
        <f>502000/3.03</f>
        <v>165676.56765676569</v>
      </c>
      <c r="I10" s="427">
        <f t="shared" si="0"/>
        <v>165676.56765676569</v>
      </c>
      <c r="J10" s="394" t="e">
        <f>INDEX(#REF!,MATCH(D10,#REF!,0))</f>
        <v>#REF!</v>
      </c>
      <c r="K10" s="582"/>
      <c r="L10" s="566">
        <f t="shared" si="1"/>
        <v>556673.26732673275</v>
      </c>
      <c r="M10" s="567" t="s">
        <v>1157</v>
      </c>
      <c r="N10" s="563"/>
      <c r="O10" s="580" t="e">
        <f>INDEX(#REF!,MATCH(D10,#REF!,0))</f>
        <v>#REF!</v>
      </c>
    </row>
    <row r="11" spans="3:15" ht="25" x14ac:dyDescent="0.35">
      <c r="C11" s="391" t="s">
        <v>69</v>
      </c>
      <c r="D11" s="392" t="s">
        <v>565</v>
      </c>
      <c r="E11" s="392" t="s">
        <v>32</v>
      </c>
      <c r="F11" s="392" t="s">
        <v>970</v>
      </c>
      <c r="G11" s="393">
        <v>6</v>
      </c>
      <c r="H11" s="424">
        <f>59360</f>
        <v>59360</v>
      </c>
      <c r="I11" s="427">
        <f t="shared" si="0"/>
        <v>356160</v>
      </c>
      <c r="J11" s="394" t="e">
        <f>INDEX(#REF!,MATCH(D11,#REF!,0))</f>
        <v>#REF!</v>
      </c>
      <c r="K11" s="582"/>
      <c r="L11" s="566">
        <f t="shared" si="1"/>
        <v>1196697.5999999999</v>
      </c>
      <c r="M11" s="567" t="s">
        <v>1156</v>
      </c>
      <c r="N11" s="563"/>
      <c r="O11" s="580" t="e">
        <f>INDEX(#REF!,MATCH(D11,#REF!,0))</f>
        <v>#REF!</v>
      </c>
    </row>
    <row r="12" spans="3:15" x14ac:dyDescent="0.35">
      <c r="C12" s="391" t="s">
        <v>894</v>
      </c>
      <c r="D12" s="392" t="s">
        <v>635</v>
      </c>
      <c r="E12" s="392" t="s">
        <v>46</v>
      </c>
      <c r="F12" s="392" t="s">
        <v>970</v>
      </c>
      <c r="G12" s="393">
        <v>1</v>
      </c>
      <c r="H12" s="424">
        <f>612*40/3.03</f>
        <v>8079.2079207920797</v>
      </c>
      <c r="I12" s="427">
        <f t="shared" si="0"/>
        <v>8079.2079207920797</v>
      </c>
      <c r="J12" s="394" t="e">
        <f>INDEX(#REF!,MATCH(D12,#REF!,0))</f>
        <v>#REF!</v>
      </c>
      <c r="K12" s="582"/>
      <c r="L12" s="566">
        <f t="shared" si="1"/>
        <v>27146.138613861385</v>
      </c>
      <c r="M12" s="567" t="s">
        <v>1152</v>
      </c>
      <c r="N12" s="563"/>
      <c r="O12" s="580" t="e">
        <f>INDEX(#REF!,MATCH(D12,#REF!,0))</f>
        <v>#REF!</v>
      </c>
    </row>
    <row r="13" spans="3:15" x14ac:dyDescent="0.35">
      <c r="C13" s="391" t="s">
        <v>902</v>
      </c>
      <c r="D13" s="392" t="s">
        <v>645</v>
      </c>
      <c r="E13" s="392" t="s">
        <v>46</v>
      </c>
      <c r="F13" s="392" t="s">
        <v>970</v>
      </c>
      <c r="G13" s="393">
        <v>1</v>
      </c>
      <c r="H13" s="424">
        <v>98038.555969809953</v>
      </c>
      <c r="I13" s="427">
        <f t="shared" si="0"/>
        <v>98038.555969809953</v>
      </c>
      <c r="J13" s="394" t="e">
        <f>INDEX(#REF!,MATCH(D13,#REF!,0))</f>
        <v>#REF!</v>
      </c>
      <c r="K13" s="582"/>
      <c r="L13" s="566">
        <f t="shared" si="1"/>
        <v>329409.54805856146</v>
      </c>
      <c r="M13" s="567" t="s">
        <v>1158</v>
      </c>
      <c r="N13" s="563"/>
      <c r="O13" s="580" t="e">
        <f>INDEX(#REF!,MATCH(D13,#REF!,0))</f>
        <v>#REF!</v>
      </c>
    </row>
    <row r="14" spans="3:15" x14ac:dyDescent="0.35">
      <c r="C14" s="391" t="s">
        <v>903</v>
      </c>
      <c r="D14" s="392" t="s">
        <v>646</v>
      </c>
      <c r="E14" s="392" t="s">
        <v>46</v>
      </c>
      <c r="F14" s="392" t="s">
        <v>970</v>
      </c>
      <c r="G14" s="393">
        <v>1</v>
      </c>
      <c r="H14" s="424">
        <v>95097.753932890802</v>
      </c>
      <c r="I14" s="427">
        <f t="shared" si="0"/>
        <v>95097.753932890802</v>
      </c>
      <c r="J14" s="394" t="e">
        <f>INDEX(#REF!,MATCH(D14,#REF!,0))</f>
        <v>#REF!</v>
      </c>
      <c r="K14" s="582"/>
      <c r="L14" s="566">
        <f t="shared" si="1"/>
        <v>319528.45321451308</v>
      </c>
      <c r="M14" s="567" t="s">
        <v>1158</v>
      </c>
      <c r="N14" s="563"/>
      <c r="O14" s="580" t="e">
        <f>INDEX(#REF!,MATCH(D14,#REF!,0))</f>
        <v>#REF!</v>
      </c>
    </row>
    <row r="15" spans="3:15" ht="37.5" x14ac:dyDescent="0.35">
      <c r="C15" s="391" t="s">
        <v>67</v>
      </c>
      <c r="D15" s="392" t="s">
        <v>563</v>
      </c>
      <c r="E15" s="392" t="s">
        <v>32</v>
      </c>
      <c r="F15" s="392" t="s">
        <v>970</v>
      </c>
      <c r="G15" s="393">
        <v>1</v>
      </c>
      <c r="H15" s="424">
        <v>93585</v>
      </c>
      <c r="I15" s="427">
        <f t="shared" si="0"/>
        <v>93585</v>
      </c>
      <c r="J15" s="394" t="e">
        <f>INDEX(#REF!,MATCH(D15,#REF!,0))</f>
        <v>#REF!</v>
      </c>
      <c r="K15" s="582"/>
      <c r="L15" s="566">
        <f t="shared" si="1"/>
        <v>314445.59999999998</v>
      </c>
      <c r="M15" s="567" t="s">
        <v>1156</v>
      </c>
      <c r="N15" s="563"/>
      <c r="O15" s="580" t="e">
        <f>INDEX(#REF!,MATCH(D15,#REF!,0))</f>
        <v>#REF!</v>
      </c>
    </row>
    <row r="16" spans="3:15" x14ac:dyDescent="0.35">
      <c r="C16" s="391" t="s">
        <v>900</v>
      </c>
      <c r="D16" s="392" t="s">
        <v>643</v>
      </c>
      <c r="E16" s="392" t="s">
        <v>46</v>
      </c>
      <c r="F16" s="392" t="s">
        <v>970</v>
      </c>
      <c r="G16" s="393">
        <v>2</v>
      </c>
      <c r="H16" s="424">
        <v>78431.39037919433</v>
      </c>
      <c r="I16" s="427">
        <f t="shared" si="0"/>
        <v>156862.78075838866</v>
      </c>
      <c r="J16" s="394" t="e">
        <f>INDEX(#REF!,MATCH(D16,#REF!,0))</f>
        <v>#REF!</v>
      </c>
      <c r="K16" s="582"/>
      <c r="L16" s="566">
        <f t="shared" si="1"/>
        <v>527058.94334818586</v>
      </c>
      <c r="M16" s="567" t="s">
        <v>1159</v>
      </c>
      <c r="N16" s="563"/>
      <c r="O16" s="580" t="e">
        <f>INDEX(#REF!,MATCH(D16,#REF!,0))</f>
        <v>#REF!</v>
      </c>
    </row>
    <row r="17" spans="2:15" ht="50" x14ac:dyDescent="0.35">
      <c r="C17" s="391" t="s">
        <v>65</v>
      </c>
      <c r="D17" s="392" t="s">
        <v>561</v>
      </c>
      <c r="E17" s="392" t="s">
        <v>32</v>
      </c>
      <c r="F17" s="392" t="s">
        <v>970</v>
      </c>
      <c r="G17" s="393">
        <v>1</v>
      </c>
      <c r="H17" s="425">
        <v>15426</v>
      </c>
      <c r="I17" s="427">
        <f t="shared" si="0"/>
        <v>15426</v>
      </c>
      <c r="J17" s="414" t="e">
        <f>INDEX(#REF!,MATCH(D17,#REF!,0))</f>
        <v>#REF!</v>
      </c>
      <c r="K17" s="582"/>
      <c r="L17" s="566">
        <f t="shared" si="1"/>
        <v>51831.360000000001</v>
      </c>
      <c r="M17" s="569" t="s">
        <v>1160</v>
      </c>
      <c r="N17" s="563"/>
      <c r="O17" s="589" t="e">
        <f>INDEX(#REF!,MATCH(D17,#REF!,0))</f>
        <v>#REF!</v>
      </c>
    </row>
    <row r="18" spans="2:15" ht="15" thickBot="1" x14ac:dyDescent="0.4">
      <c r="C18" s="415" t="s">
        <v>901</v>
      </c>
      <c r="D18" s="401" t="s">
        <v>644</v>
      </c>
      <c r="E18" s="401" t="s">
        <v>46</v>
      </c>
      <c r="F18" s="401" t="s">
        <v>970</v>
      </c>
      <c r="G18" s="416">
        <v>1</v>
      </c>
      <c r="H18" s="424">
        <f>9490.2</f>
        <v>9490.2000000000007</v>
      </c>
      <c r="I18" s="424">
        <f t="shared" si="0"/>
        <v>9490.2000000000007</v>
      </c>
      <c r="J18" s="394" t="e">
        <f>INDEX(#REF!,MATCH(D18,#REF!,0))</f>
        <v>#REF!</v>
      </c>
      <c r="K18" s="582"/>
      <c r="L18" s="570">
        <f t="shared" si="1"/>
        <v>31887.072</v>
      </c>
      <c r="M18" s="571" t="s">
        <v>1152</v>
      </c>
      <c r="N18" s="563"/>
      <c r="O18" s="590" t="e">
        <f>INDEX(#REF!,MATCH(D18,#REF!,0))</f>
        <v>#REF!</v>
      </c>
    </row>
    <row r="19" spans="2:15" ht="15.5" x14ac:dyDescent="0.35">
      <c r="B19" s="400"/>
      <c r="C19" s="417"/>
      <c r="D19" s="412"/>
      <c r="E19" s="412"/>
      <c r="F19" s="412"/>
      <c r="G19" s="413"/>
      <c r="H19" s="420"/>
      <c r="I19" s="420"/>
      <c r="J19" s="422" t="e">
        <f>SUM(J3:J18)</f>
        <v>#REF!</v>
      </c>
      <c r="K19" s="582"/>
      <c r="L19" s="560">
        <f>SUM(L3:L18)</f>
        <v>10868357.006586228</v>
      </c>
      <c r="M19" s="561"/>
      <c r="N19" s="563"/>
    </row>
    <row r="20" spans="2:15" ht="15" thickBot="1" x14ac:dyDescent="0.4">
      <c r="B20" s="400"/>
      <c r="C20" s="429" t="s">
        <v>845</v>
      </c>
      <c r="D20" s="412"/>
      <c r="E20" s="412"/>
      <c r="F20" s="412"/>
      <c r="G20" s="413"/>
      <c r="H20" s="418"/>
      <c r="I20" s="403"/>
      <c r="J20" s="419"/>
      <c r="K20" s="582"/>
      <c r="L20" s="562"/>
      <c r="M20" s="561"/>
      <c r="N20" s="563"/>
    </row>
    <row r="21" spans="2:15" ht="25" x14ac:dyDescent="0.35">
      <c r="B21" s="410" t="s">
        <v>119</v>
      </c>
      <c r="C21" s="402" t="s">
        <v>79</v>
      </c>
      <c r="D21" s="430"/>
      <c r="E21" s="431" t="s">
        <v>1151</v>
      </c>
      <c r="F21" s="430" t="s">
        <v>970</v>
      </c>
      <c r="G21" s="430">
        <v>1</v>
      </c>
      <c r="H21" s="432">
        <f t="shared" ref="H21:H28" si="2">I21/G21</f>
        <v>18042.882591093123</v>
      </c>
      <c r="I21" s="433">
        <f t="shared" ref="I21:I28" si="3">L21/СМР/прочие</f>
        <v>18042.882591093123</v>
      </c>
      <c r="J21" s="434" t="e">
        <f>INDEX(#REF!,MATCH(B21,#REF!,0))</f>
        <v>#REF!</v>
      </c>
      <c r="K21" s="583"/>
      <c r="L21" s="572">
        <v>133697.76</v>
      </c>
      <c r="M21" s="573" t="s">
        <v>1156</v>
      </c>
      <c r="N21" s="584"/>
    </row>
    <row r="22" spans="2:15" ht="25" x14ac:dyDescent="0.35">
      <c r="B22" s="411" t="s">
        <v>1184</v>
      </c>
      <c r="C22" s="402" t="s">
        <v>724</v>
      </c>
      <c r="D22" s="430"/>
      <c r="E22" s="431" t="s">
        <v>1151</v>
      </c>
      <c r="F22" s="430" t="s">
        <v>970</v>
      </c>
      <c r="G22" s="430">
        <v>7</v>
      </c>
      <c r="H22" s="432">
        <f t="shared" si="2"/>
        <v>8972.2429149797572</v>
      </c>
      <c r="I22" s="433">
        <f t="shared" si="3"/>
        <v>62805.700404858304</v>
      </c>
      <c r="J22" s="434" t="e">
        <f>INDEX(#REF!,MATCH(B22,#REF!,0))</f>
        <v>#REF!</v>
      </c>
      <c r="K22" s="585"/>
      <c r="L22" s="574">
        <v>465390.24</v>
      </c>
      <c r="M22" s="569" t="s">
        <v>1156</v>
      </c>
      <c r="N22" s="584"/>
    </row>
    <row r="23" spans="2:15" ht="25" x14ac:dyDescent="0.35">
      <c r="B23" s="411" t="s">
        <v>1185</v>
      </c>
      <c r="C23" s="402" t="s">
        <v>726</v>
      </c>
      <c r="D23" s="430"/>
      <c r="E23" s="431" t="s">
        <v>1151</v>
      </c>
      <c r="F23" s="430" t="s">
        <v>970</v>
      </c>
      <c r="G23" s="430">
        <v>3</v>
      </c>
      <c r="H23" s="432">
        <f t="shared" si="2"/>
        <v>13458.137651821866</v>
      </c>
      <c r="I23" s="433">
        <f t="shared" si="3"/>
        <v>40374.412955465596</v>
      </c>
      <c r="J23" s="434" t="e">
        <f>INDEX(#REF!,MATCH(B23,#REF!,0))</f>
        <v>#REF!</v>
      </c>
      <c r="K23" s="585"/>
      <c r="L23" s="574">
        <v>299174.40000000002</v>
      </c>
      <c r="M23" s="569" t="s">
        <v>1156</v>
      </c>
      <c r="N23" s="584"/>
    </row>
    <row r="24" spans="2:15" ht="25" x14ac:dyDescent="0.35">
      <c r="B24" s="411" t="s">
        <v>1186</v>
      </c>
      <c r="C24" s="402" t="s">
        <v>1161</v>
      </c>
      <c r="D24" s="430"/>
      <c r="E24" s="431" t="s">
        <v>1151</v>
      </c>
      <c r="F24" s="430" t="s">
        <v>970</v>
      </c>
      <c r="G24" s="430">
        <v>3</v>
      </c>
      <c r="H24" s="432">
        <f t="shared" si="2"/>
        <v>17944.032388663971</v>
      </c>
      <c r="I24" s="433">
        <f t="shared" si="3"/>
        <v>53832.097165991909</v>
      </c>
      <c r="J24" s="434" t="e">
        <f>INDEX(#REF!,MATCH(B24,#REF!,0))</f>
        <v>#REF!</v>
      </c>
      <c r="K24" s="585"/>
      <c r="L24" s="574">
        <v>398895.84</v>
      </c>
      <c r="M24" s="569" t="s">
        <v>1156</v>
      </c>
      <c r="N24" s="584"/>
    </row>
    <row r="25" spans="2:15" ht="25" x14ac:dyDescent="0.35">
      <c r="B25" s="411" t="s">
        <v>1623</v>
      </c>
      <c r="C25" s="402" t="s">
        <v>1162</v>
      </c>
      <c r="D25" s="430"/>
      <c r="E25" s="431" t="s">
        <v>5</v>
      </c>
      <c r="F25" s="430" t="s">
        <v>970</v>
      </c>
      <c r="G25" s="430">
        <v>9</v>
      </c>
      <c r="H25" s="432">
        <f t="shared" si="2"/>
        <v>2412.3076923076924</v>
      </c>
      <c r="I25" s="433">
        <f t="shared" si="3"/>
        <v>21710.76923076923</v>
      </c>
      <c r="J25" s="434" t="e">
        <f>INDEX(#REF!,MATCH(B25,#REF!,0))</f>
        <v>#REF!</v>
      </c>
      <c r="K25" s="585"/>
      <c r="L25" s="574">
        <v>160876.79999999999</v>
      </c>
      <c r="M25" s="569" t="s">
        <v>1156</v>
      </c>
      <c r="N25" s="584"/>
    </row>
    <row r="26" spans="2:15" ht="25" x14ac:dyDescent="0.35">
      <c r="B26" s="411" t="s">
        <v>1624</v>
      </c>
      <c r="C26" s="402" t="s">
        <v>7</v>
      </c>
      <c r="D26" s="430"/>
      <c r="E26" s="431" t="s">
        <v>5</v>
      </c>
      <c r="F26" s="430" t="s">
        <v>970</v>
      </c>
      <c r="G26" s="430">
        <v>2</v>
      </c>
      <c r="H26" s="432">
        <f t="shared" si="2"/>
        <v>3858.7854251012145</v>
      </c>
      <c r="I26" s="433">
        <f t="shared" si="3"/>
        <v>7717.570850202429</v>
      </c>
      <c r="J26" s="434" t="e">
        <f>INDEX(#REF!,MATCH(B26,#REF!,0))</f>
        <v>#REF!</v>
      </c>
      <c r="K26" s="585"/>
      <c r="L26" s="574">
        <v>57187.199999999997</v>
      </c>
      <c r="M26" s="569" t="s">
        <v>1156</v>
      </c>
      <c r="N26" s="584"/>
    </row>
    <row r="27" spans="2:15" ht="25" x14ac:dyDescent="0.35">
      <c r="B27" s="411" t="s">
        <v>1625</v>
      </c>
      <c r="C27" s="402" t="s">
        <v>724</v>
      </c>
      <c r="D27" s="430"/>
      <c r="E27" s="431" t="s">
        <v>5</v>
      </c>
      <c r="F27" s="430" t="s">
        <v>970</v>
      </c>
      <c r="G27" s="430">
        <v>10</v>
      </c>
      <c r="H27" s="432">
        <f t="shared" si="2"/>
        <v>8972.2429149797572</v>
      </c>
      <c r="I27" s="433">
        <f t="shared" si="3"/>
        <v>89722.429149797565</v>
      </c>
      <c r="J27" s="434" t="e">
        <f>INDEX(#REF!,MATCH(B27,#REF!,0))</f>
        <v>#REF!</v>
      </c>
      <c r="K27" s="585"/>
      <c r="L27" s="574">
        <v>664843.19999999995</v>
      </c>
      <c r="M27" s="569" t="s">
        <v>1156</v>
      </c>
      <c r="N27" s="584"/>
    </row>
    <row r="28" spans="2:15" ht="25.5" thickBot="1" x14ac:dyDescent="0.4">
      <c r="B28" s="411" t="s">
        <v>1626</v>
      </c>
      <c r="C28" s="402" t="s">
        <v>727</v>
      </c>
      <c r="D28" s="430"/>
      <c r="E28" s="431" t="s">
        <v>5</v>
      </c>
      <c r="F28" s="430" t="s">
        <v>970</v>
      </c>
      <c r="G28" s="430">
        <v>3</v>
      </c>
      <c r="H28" s="432">
        <f t="shared" si="2"/>
        <v>17944.032388663971</v>
      </c>
      <c r="I28" s="435">
        <f t="shared" si="3"/>
        <v>53832.097165991909</v>
      </c>
      <c r="J28" s="436" t="e">
        <f>INDEX(#REF!,MATCH(B28,#REF!,0))</f>
        <v>#REF!</v>
      </c>
      <c r="K28" s="586"/>
      <c r="L28" s="575">
        <v>398895.84</v>
      </c>
      <c r="M28" s="576" t="s">
        <v>1156</v>
      </c>
      <c r="N28" s="584"/>
    </row>
    <row r="29" spans="2:15" ht="15.5" x14ac:dyDescent="0.35">
      <c r="J29" s="421" t="e">
        <f>SUM(J21:J28)</f>
        <v>#REF!</v>
      </c>
      <c r="K29" s="563"/>
      <c r="L29" s="560">
        <f>SUM(L21:L28)</f>
        <v>2578961.2799999998</v>
      </c>
      <c r="M29" s="563"/>
      <c r="N29" s="563"/>
    </row>
    <row r="30" spans="2:15" x14ac:dyDescent="0.35">
      <c r="I30" s="409"/>
      <c r="K30" s="562"/>
      <c r="L30" s="563"/>
      <c r="M30" s="563"/>
      <c r="N30" s="563"/>
    </row>
    <row r="31" spans="2:15" ht="15.5" x14ac:dyDescent="0.35">
      <c r="J31" s="428" t="e">
        <f>SUM(J19,J29)</f>
        <v>#REF!</v>
      </c>
      <c r="K31" s="563"/>
      <c r="L31" s="587">
        <f>SUM(L19,L29)</f>
        <v>13447318.286586227</v>
      </c>
      <c r="M31" s="563"/>
      <c r="N31" s="563"/>
    </row>
  </sheetData>
  <phoneticPr fontId="65" type="noConversion"/>
  <pageMargins left="0.7" right="0.7" top="0.75" bottom="0.75" header="0.3" footer="0.3"/>
  <pageSetup paperSize="9" orientation="portrait" r:id="rId1"/>
  <headerFooter alignWithMargins="0"/>
  <ignoredErrors>
    <ignoredError sqref="E21:E28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4"/>
  <dimension ref="A3:I131"/>
  <sheetViews>
    <sheetView workbookViewId="0"/>
  </sheetViews>
  <sheetFormatPr defaultRowHeight="12.5" x14ac:dyDescent="0.25"/>
  <cols>
    <col min="1" max="1" width="4" bestFit="1" customWidth="1"/>
    <col min="2" max="2" width="6.54296875" bestFit="1" customWidth="1"/>
    <col min="4" max="4" width="84.81640625" customWidth="1"/>
    <col min="5" max="5" width="7" bestFit="1" customWidth="1"/>
    <col min="6" max="6" width="4" bestFit="1" customWidth="1"/>
    <col min="7" max="7" width="14.453125" bestFit="1" customWidth="1"/>
    <col min="8" max="8" width="13.453125" bestFit="1" customWidth="1"/>
    <col min="9" max="9" width="18.7265625" bestFit="1" customWidth="1"/>
  </cols>
  <sheetData>
    <row r="3" spans="1:9" ht="13" x14ac:dyDescent="0.25">
      <c r="A3" s="85" t="s">
        <v>976</v>
      </c>
      <c r="B3" s="85" t="s">
        <v>687</v>
      </c>
      <c r="C3" s="85" t="s">
        <v>681</v>
      </c>
      <c r="D3" s="85" t="s">
        <v>682</v>
      </c>
      <c r="E3" s="85" t="s">
        <v>683</v>
      </c>
      <c r="F3" s="85" t="s">
        <v>684</v>
      </c>
      <c r="G3" s="85" t="s">
        <v>685</v>
      </c>
      <c r="H3" s="85" t="s">
        <v>686</v>
      </c>
      <c r="I3" s="85" t="s">
        <v>691</v>
      </c>
    </row>
    <row r="4" spans="1:9" ht="37.5" x14ac:dyDescent="0.25">
      <c r="A4" s="86">
        <v>1</v>
      </c>
      <c r="B4" s="86" t="s">
        <v>554</v>
      </c>
      <c r="C4" s="93" t="s">
        <v>427</v>
      </c>
      <c r="D4" s="88" t="s">
        <v>1702</v>
      </c>
      <c r="E4" s="94" t="s">
        <v>970</v>
      </c>
      <c r="F4" s="92">
        <v>1</v>
      </c>
      <c r="G4" s="90">
        <f t="shared" ref="G4:G35" si="0">H4/F4</f>
        <v>729533.28</v>
      </c>
      <c r="H4" s="89">
        <v>729533.28</v>
      </c>
      <c r="I4" s="87">
        <f t="shared" ref="I4:I35" si="1">COUNTIF($D$4:$D$130,D4)</f>
        <v>1</v>
      </c>
    </row>
    <row r="5" spans="1:9" ht="37.5" x14ac:dyDescent="0.25">
      <c r="A5" s="86">
        <v>2</v>
      </c>
      <c r="B5" s="86" t="s">
        <v>555</v>
      </c>
      <c r="C5" s="93" t="s">
        <v>428</v>
      </c>
      <c r="D5" s="88" t="s">
        <v>1709</v>
      </c>
      <c r="E5" s="94" t="s">
        <v>970</v>
      </c>
      <c r="F5" s="95">
        <v>2</v>
      </c>
      <c r="G5" s="90">
        <f t="shared" si="0"/>
        <v>1122547.44</v>
      </c>
      <c r="H5" s="89">
        <v>2245094.88</v>
      </c>
      <c r="I5" s="87">
        <f t="shared" si="1"/>
        <v>1</v>
      </c>
    </row>
    <row r="6" spans="1:9" x14ac:dyDescent="0.25">
      <c r="A6" s="86">
        <v>3</v>
      </c>
      <c r="B6" s="86" t="s">
        <v>556</v>
      </c>
      <c r="C6" s="93" t="s">
        <v>429</v>
      </c>
      <c r="D6" s="88" t="s">
        <v>1073</v>
      </c>
      <c r="E6" s="94" t="s">
        <v>970</v>
      </c>
      <c r="F6" s="92">
        <v>1</v>
      </c>
      <c r="G6" s="90">
        <f t="shared" si="0"/>
        <v>1371888</v>
      </c>
      <c r="H6" s="89">
        <v>1371888</v>
      </c>
      <c r="I6" s="87">
        <f t="shared" si="1"/>
        <v>1</v>
      </c>
    </row>
    <row r="7" spans="1:9" x14ac:dyDescent="0.25">
      <c r="A7" s="86">
        <v>4</v>
      </c>
      <c r="B7" s="86" t="s">
        <v>557</v>
      </c>
      <c r="C7" s="93" t="s">
        <v>430</v>
      </c>
      <c r="D7" s="88" t="s">
        <v>1074</v>
      </c>
      <c r="E7" s="94" t="s">
        <v>970</v>
      </c>
      <c r="F7" s="92">
        <v>3</v>
      </c>
      <c r="G7" s="90">
        <f t="shared" si="0"/>
        <v>54936</v>
      </c>
      <c r="H7" s="89">
        <v>164808</v>
      </c>
      <c r="I7" s="87">
        <f t="shared" si="1"/>
        <v>1</v>
      </c>
    </row>
    <row r="8" spans="1:9" x14ac:dyDescent="0.25">
      <c r="A8" s="86">
        <v>5</v>
      </c>
      <c r="B8" s="86" t="s">
        <v>558</v>
      </c>
      <c r="C8" s="93" t="s">
        <v>431</v>
      </c>
      <c r="D8" s="88" t="s">
        <v>1075</v>
      </c>
      <c r="E8" s="94" t="s">
        <v>970</v>
      </c>
      <c r="F8" s="92">
        <v>2</v>
      </c>
      <c r="G8" s="90">
        <f t="shared" si="0"/>
        <v>981.12</v>
      </c>
      <c r="H8" s="89">
        <v>1962.24</v>
      </c>
      <c r="I8" s="87">
        <f t="shared" si="1"/>
        <v>1</v>
      </c>
    </row>
    <row r="9" spans="1:9" x14ac:dyDescent="0.25">
      <c r="A9" s="86">
        <v>6</v>
      </c>
      <c r="B9" s="86" t="s">
        <v>559</v>
      </c>
      <c r="C9" s="93" t="s">
        <v>432</v>
      </c>
      <c r="D9" s="88" t="s">
        <v>1076</v>
      </c>
      <c r="E9" s="94" t="s">
        <v>970</v>
      </c>
      <c r="F9" s="92">
        <v>2</v>
      </c>
      <c r="G9" s="90">
        <f t="shared" si="0"/>
        <v>430.08</v>
      </c>
      <c r="H9" s="89">
        <v>860.16</v>
      </c>
      <c r="I9" s="87">
        <f t="shared" si="1"/>
        <v>1</v>
      </c>
    </row>
    <row r="10" spans="1:9" ht="25" x14ac:dyDescent="0.25">
      <c r="A10" s="86">
        <v>7</v>
      </c>
      <c r="B10" s="86" t="s">
        <v>560</v>
      </c>
      <c r="C10" s="93" t="s">
        <v>433</v>
      </c>
      <c r="D10" s="88" t="s">
        <v>1085</v>
      </c>
      <c r="E10" s="94" t="s">
        <v>970</v>
      </c>
      <c r="F10" s="92">
        <v>2</v>
      </c>
      <c r="G10" s="90">
        <f t="shared" si="0"/>
        <v>1257624.48</v>
      </c>
      <c r="H10" s="89">
        <v>2515248.96</v>
      </c>
      <c r="I10" s="87">
        <f t="shared" si="1"/>
        <v>1</v>
      </c>
    </row>
    <row r="11" spans="1:9" ht="37.5" x14ac:dyDescent="0.25">
      <c r="A11" s="86">
        <v>8</v>
      </c>
      <c r="B11" s="86" t="s">
        <v>561</v>
      </c>
      <c r="C11" s="93" t="s">
        <v>434</v>
      </c>
      <c r="D11" s="96" t="s">
        <v>65</v>
      </c>
      <c r="E11" s="94" t="s">
        <v>970</v>
      </c>
      <c r="F11" s="92">
        <v>1</v>
      </c>
      <c r="G11" s="90">
        <f t="shared" si="0"/>
        <v>136031.46547199998</v>
      </c>
      <c r="H11" s="89">
        <v>136031.46547199998</v>
      </c>
      <c r="I11" s="87">
        <f t="shared" si="1"/>
        <v>1</v>
      </c>
    </row>
    <row r="12" spans="1:9" x14ac:dyDescent="0.25">
      <c r="A12" s="86">
        <v>9</v>
      </c>
      <c r="B12" s="86" t="s">
        <v>562</v>
      </c>
      <c r="C12" s="93" t="s">
        <v>435</v>
      </c>
      <c r="D12" s="96" t="s">
        <v>66</v>
      </c>
      <c r="E12" s="94" t="s">
        <v>970</v>
      </c>
      <c r="F12" s="92">
        <v>3</v>
      </c>
      <c r="G12" s="90">
        <f t="shared" si="0"/>
        <v>3743.0268959999994</v>
      </c>
      <c r="H12" s="89">
        <v>11229.080687999998</v>
      </c>
      <c r="I12" s="87">
        <f t="shared" si="1"/>
        <v>1</v>
      </c>
    </row>
    <row r="13" spans="1:9" ht="25" x14ac:dyDescent="0.25">
      <c r="A13" s="86">
        <v>10</v>
      </c>
      <c r="B13" s="86" t="s">
        <v>563</v>
      </c>
      <c r="C13" s="93" t="s">
        <v>436</v>
      </c>
      <c r="D13" s="96" t="s">
        <v>67</v>
      </c>
      <c r="E13" s="94" t="s">
        <v>970</v>
      </c>
      <c r="F13" s="92">
        <v>1</v>
      </c>
      <c r="G13" s="90">
        <f t="shared" si="0"/>
        <v>345795.82631999999</v>
      </c>
      <c r="H13" s="89">
        <v>345795.82631999999</v>
      </c>
      <c r="I13" s="87">
        <f t="shared" si="1"/>
        <v>1</v>
      </c>
    </row>
    <row r="14" spans="1:9" ht="25" x14ac:dyDescent="0.25">
      <c r="A14" s="86">
        <v>11</v>
      </c>
      <c r="B14" s="86" t="s">
        <v>564</v>
      </c>
      <c r="C14" s="93" t="s">
        <v>437</v>
      </c>
      <c r="D14" s="96" t="s">
        <v>68</v>
      </c>
      <c r="E14" s="94" t="s">
        <v>970</v>
      </c>
      <c r="F14" s="92">
        <v>1</v>
      </c>
      <c r="G14" s="90">
        <f t="shared" si="0"/>
        <v>731508.98620799999</v>
      </c>
      <c r="H14" s="89">
        <v>731508.98620799999</v>
      </c>
      <c r="I14" s="87">
        <f t="shared" si="1"/>
        <v>1</v>
      </c>
    </row>
    <row r="15" spans="1:9" ht="25" x14ac:dyDescent="0.25">
      <c r="A15" s="86">
        <v>12</v>
      </c>
      <c r="B15" s="86" t="s">
        <v>565</v>
      </c>
      <c r="C15" s="93" t="s">
        <v>438</v>
      </c>
      <c r="D15" s="96" t="s">
        <v>69</v>
      </c>
      <c r="E15" s="94" t="s">
        <v>970</v>
      </c>
      <c r="F15" s="92">
        <v>6</v>
      </c>
      <c r="G15" s="90">
        <f t="shared" si="0"/>
        <v>578250.85219999996</v>
      </c>
      <c r="H15" s="89">
        <v>3469505.1131999996</v>
      </c>
      <c r="I15" s="87">
        <f t="shared" si="1"/>
        <v>1</v>
      </c>
    </row>
    <row r="16" spans="1:9" x14ac:dyDescent="0.25">
      <c r="A16" s="86">
        <v>13</v>
      </c>
      <c r="B16" s="86" t="s">
        <v>566</v>
      </c>
      <c r="C16" s="93" t="s">
        <v>439</v>
      </c>
      <c r="D16" s="96" t="s">
        <v>70</v>
      </c>
      <c r="E16" s="94" t="s">
        <v>970</v>
      </c>
      <c r="F16" s="92">
        <v>2</v>
      </c>
      <c r="G16" s="90">
        <f t="shared" si="0"/>
        <v>50475.438215999995</v>
      </c>
      <c r="H16" s="89">
        <v>100950.87643199999</v>
      </c>
      <c r="I16" s="87">
        <f t="shared" si="1"/>
        <v>1</v>
      </c>
    </row>
    <row r="17" spans="1:9" ht="37.5" x14ac:dyDescent="0.25">
      <c r="A17" s="86">
        <v>14</v>
      </c>
      <c r="B17" s="86" t="s">
        <v>567</v>
      </c>
      <c r="C17" s="97" t="s">
        <v>440</v>
      </c>
      <c r="D17" s="96" t="s">
        <v>1749</v>
      </c>
      <c r="E17" s="94" t="s">
        <v>970</v>
      </c>
      <c r="F17" s="98">
        <v>1</v>
      </c>
      <c r="G17" s="90">
        <f t="shared" si="0"/>
        <v>71319.360000000001</v>
      </c>
      <c r="H17" s="89">
        <v>71319.360000000001</v>
      </c>
      <c r="I17" s="87">
        <f t="shared" si="1"/>
        <v>1</v>
      </c>
    </row>
    <row r="18" spans="1:9" x14ac:dyDescent="0.25">
      <c r="A18" s="86">
        <v>15</v>
      </c>
      <c r="B18" s="86" t="s">
        <v>568</v>
      </c>
      <c r="C18" s="97" t="s">
        <v>441</v>
      </c>
      <c r="D18" s="96" t="s">
        <v>992</v>
      </c>
      <c r="E18" s="94" t="s">
        <v>970</v>
      </c>
      <c r="F18" s="98">
        <v>1</v>
      </c>
      <c r="G18" s="90">
        <f t="shared" si="0"/>
        <v>238.56</v>
      </c>
      <c r="H18" s="89">
        <v>238.56</v>
      </c>
      <c r="I18" s="87">
        <f t="shared" si="1"/>
        <v>2</v>
      </c>
    </row>
    <row r="19" spans="1:9" x14ac:dyDescent="0.25">
      <c r="A19" s="86">
        <v>16</v>
      </c>
      <c r="B19" s="86" t="s">
        <v>569</v>
      </c>
      <c r="C19" s="97" t="s">
        <v>442</v>
      </c>
      <c r="D19" s="96" t="s">
        <v>993</v>
      </c>
      <c r="E19" s="94" t="s">
        <v>970</v>
      </c>
      <c r="F19" s="98">
        <v>1</v>
      </c>
      <c r="G19" s="90">
        <f t="shared" si="0"/>
        <v>285.60000000000002</v>
      </c>
      <c r="H19" s="89">
        <v>285.60000000000002</v>
      </c>
      <c r="I19" s="87">
        <f t="shared" si="1"/>
        <v>2</v>
      </c>
    </row>
    <row r="20" spans="1:9" x14ac:dyDescent="0.25">
      <c r="A20" s="86">
        <v>17</v>
      </c>
      <c r="B20" s="86" t="s">
        <v>570</v>
      </c>
      <c r="C20" s="97" t="s">
        <v>443</v>
      </c>
      <c r="D20" s="96" t="s">
        <v>999</v>
      </c>
      <c r="E20" s="94" t="s">
        <v>970</v>
      </c>
      <c r="F20" s="98">
        <v>2</v>
      </c>
      <c r="G20" s="90">
        <f t="shared" si="0"/>
        <v>323.86367999999999</v>
      </c>
      <c r="H20" s="89">
        <v>647.72735999999998</v>
      </c>
      <c r="I20" s="87">
        <f t="shared" si="1"/>
        <v>1</v>
      </c>
    </row>
    <row r="21" spans="1:9" x14ac:dyDescent="0.25">
      <c r="A21" s="86">
        <v>18</v>
      </c>
      <c r="B21" s="86" t="s">
        <v>571</v>
      </c>
      <c r="C21" s="97" t="s">
        <v>444</v>
      </c>
      <c r="D21" s="96" t="s">
        <v>1000</v>
      </c>
      <c r="E21" s="94" t="s">
        <v>970</v>
      </c>
      <c r="F21" s="98">
        <v>2</v>
      </c>
      <c r="G21" s="90">
        <f t="shared" si="0"/>
        <v>356.98823999999996</v>
      </c>
      <c r="H21" s="89">
        <v>713.97647999999992</v>
      </c>
      <c r="I21" s="87">
        <f t="shared" si="1"/>
        <v>1</v>
      </c>
    </row>
    <row r="22" spans="1:9" x14ac:dyDescent="0.25">
      <c r="A22" s="86">
        <v>19</v>
      </c>
      <c r="B22" s="86" t="s">
        <v>572</v>
      </c>
      <c r="C22" s="97" t="s">
        <v>445</v>
      </c>
      <c r="D22" s="96" t="s">
        <v>992</v>
      </c>
      <c r="E22" s="94" t="s">
        <v>970</v>
      </c>
      <c r="F22" s="98">
        <v>2</v>
      </c>
      <c r="G22" s="90">
        <f t="shared" si="0"/>
        <v>242.30807999999999</v>
      </c>
      <c r="H22" s="89">
        <v>484.61615999999998</v>
      </c>
      <c r="I22" s="87">
        <f t="shared" si="1"/>
        <v>2</v>
      </c>
    </row>
    <row r="23" spans="1:9" x14ac:dyDescent="0.25">
      <c r="A23" s="86">
        <v>20</v>
      </c>
      <c r="B23" s="86" t="s">
        <v>573</v>
      </c>
      <c r="C23" s="97" t="s">
        <v>446</v>
      </c>
      <c r="D23" s="96" t="s">
        <v>993</v>
      </c>
      <c r="E23" s="94" t="s">
        <v>970</v>
      </c>
      <c r="F23" s="98">
        <v>2</v>
      </c>
      <c r="G23" s="90">
        <f t="shared" si="0"/>
        <v>284.85071999999997</v>
      </c>
      <c r="H23" s="89">
        <v>569.70143999999993</v>
      </c>
      <c r="I23" s="87">
        <f t="shared" si="1"/>
        <v>2</v>
      </c>
    </row>
    <row r="24" spans="1:9" x14ac:dyDescent="0.25">
      <c r="A24" s="86">
        <v>21</v>
      </c>
      <c r="B24" s="86" t="s">
        <v>574</v>
      </c>
      <c r="C24" s="97" t="s">
        <v>447</v>
      </c>
      <c r="D24" s="96" t="s">
        <v>1001</v>
      </c>
      <c r="E24" s="94" t="s">
        <v>970</v>
      </c>
      <c r="F24" s="98">
        <v>2</v>
      </c>
      <c r="G24" s="90">
        <f t="shared" si="0"/>
        <v>257.10551999999996</v>
      </c>
      <c r="H24" s="89">
        <v>514.21103999999991</v>
      </c>
      <c r="I24" s="87">
        <f t="shared" si="1"/>
        <v>1</v>
      </c>
    </row>
    <row r="25" spans="1:9" x14ac:dyDescent="0.25">
      <c r="A25" s="86">
        <v>22</v>
      </c>
      <c r="B25" s="86" t="s">
        <v>575</v>
      </c>
      <c r="C25" s="97" t="s">
        <v>448</v>
      </c>
      <c r="D25" s="96" t="s">
        <v>1002</v>
      </c>
      <c r="E25" s="94" t="s">
        <v>970</v>
      </c>
      <c r="F25" s="98">
        <v>1</v>
      </c>
      <c r="G25" s="90">
        <f t="shared" si="0"/>
        <v>514.21103999999991</v>
      </c>
      <c r="H25" s="89">
        <v>514.21103999999991</v>
      </c>
      <c r="I25" s="87">
        <f t="shared" si="1"/>
        <v>1</v>
      </c>
    </row>
    <row r="26" spans="1:9" x14ac:dyDescent="0.25">
      <c r="A26" s="86">
        <v>23</v>
      </c>
      <c r="B26" s="86" t="s">
        <v>576</v>
      </c>
      <c r="C26" s="97" t="s">
        <v>449</v>
      </c>
      <c r="D26" s="96" t="s">
        <v>1025</v>
      </c>
      <c r="E26" s="94" t="s">
        <v>970</v>
      </c>
      <c r="F26" s="98">
        <v>1</v>
      </c>
      <c r="G26" s="90">
        <f t="shared" si="0"/>
        <v>173244.96</v>
      </c>
      <c r="H26" s="89">
        <v>173244.96</v>
      </c>
      <c r="I26" s="87">
        <f t="shared" si="1"/>
        <v>1</v>
      </c>
    </row>
    <row r="27" spans="1:9" ht="25" x14ac:dyDescent="0.25">
      <c r="A27" s="86">
        <v>24</v>
      </c>
      <c r="B27" s="86" t="s">
        <v>577</v>
      </c>
      <c r="C27" s="97" t="s">
        <v>450</v>
      </c>
      <c r="D27" s="96" t="s">
        <v>130</v>
      </c>
      <c r="E27" s="94" t="s">
        <v>132</v>
      </c>
      <c r="F27" s="98">
        <v>1</v>
      </c>
      <c r="G27" s="90">
        <f t="shared" si="0"/>
        <v>3043593.4845889988</v>
      </c>
      <c r="H27" s="89">
        <v>3043593.4845889988</v>
      </c>
      <c r="I27" s="87">
        <f t="shared" si="1"/>
        <v>1</v>
      </c>
    </row>
    <row r="28" spans="1:9" x14ac:dyDescent="0.25">
      <c r="A28" s="86">
        <v>25</v>
      </c>
      <c r="B28" s="86" t="s">
        <v>578</v>
      </c>
      <c r="C28" s="97" t="s">
        <v>451</v>
      </c>
      <c r="D28" s="96" t="s">
        <v>131</v>
      </c>
      <c r="E28" s="94" t="s">
        <v>970</v>
      </c>
      <c r="F28" s="98">
        <v>2</v>
      </c>
      <c r="G28" s="90">
        <f t="shared" si="0"/>
        <v>142058.09220231429</v>
      </c>
      <c r="H28" s="89">
        <v>284116.18440462858</v>
      </c>
      <c r="I28" s="87">
        <f t="shared" si="1"/>
        <v>1</v>
      </c>
    </row>
    <row r="29" spans="1:9" x14ac:dyDescent="0.25">
      <c r="A29" s="86">
        <v>26</v>
      </c>
      <c r="B29" s="86" t="s">
        <v>579</v>
      </c>
      <c r="C29" s="97" t="s">
        <v>452</v>
      </c>
      <c r="D29" s="96" t="s">
        <v>133</v>
      </c>
      <c r="E29" s="94" t="s">
        <v>971</v>
      </c>
      <c r="F29" s="98">
        <v>0.6</v>
      </c>
      <c r="G29" s="90">
        <f t="shared" si="0"/>
        <v>3760.2270470513004</v>
      </c>
      <c r="H29" s="89">
        <v>2256.13622823078</v>
      </c>
      <c r="I29" s="87">
        <f t="shared" si="1"/>
        <v>1</v>
      </c>
    </row>
    <row r="30" spans="1:9" x14ac:dyDescent="0.25">
      <c r="A30" s="86">
        <v>27</v>
      </c>
      <c r="B30" s="86" t="s">
        <v>580</v>
      </c>
      <c r="C30" s="97" t="s">
        <v>453</v>
      </c>
      <c r="D30" s="96" t="s">
        <v>134</v>
      </c>
      <c r="E30" s="94" t="s">
        <v>970</v>
      </c>
      <c r="F30" s="98">
        <v>1</v>
      </c>
      <c r="G30" s="90">
        <f t="shared" si="0"/>
        <v>2263.4376399726275</v>
      </c>
      <c r="H30" s="89">
        <v>2263.4376399726275</v>
      </c>
      <c r="I30" s="87">
        <f t="shared" si="1"/>
        <v>1</v>
      </c>
    </row>
    <row r="31" spans="1:9" x14ac:dyDescent="0.25">
      <c r="A31" s="86">
        <v>28</v>
      </c>
      <c r="B31" s="86" t="s">
        <v>581</v>
      </c>
      <c r="C31" s="97" t="s">
        <v>454</v>
      </c>
      <c r="D31" s="96" t="s">
        <v>135</v>
      </c>
      <c r="E31" s="94" t="s">
        <v>970</v>
      </c>
      <c r="F31" s="98">
        <v>3</v>
      </c>
      <c r="G31" s="90">
        <f t="shared" si="0"/>
        <v>4754.4359458994913</v>
      </c>
      <c r="H31" s="89">
        <v>14263.307837698474</v>
      </c>
      <c r="I31" s="87">
        <f t="shared" si="1"/>
        <v>1</v>
      </c>
    </row>
    <row r="32" spans="1:9" x14ac:dyDescent="0.25">
      <c r="A32" s="86">
        <v>29</v>
      </c>
      <c r="B32" s="86" t="s">
        <v>582</v>
      </c>
      <c r="C32" s="97" t="s">
        <v>455</v>
      </c>
      <c r="D32" s="96" t="s">
        <v>136</v>
      </c>
      <c r="E32" s="94" t="s">
        <v>970</v>
      </c>
      <c r="F32" s="98">
        <v>1</v>
      </c>
      <c r="G32" s="90">
        <f t="shared" si="0"/>
        <v>13284.918664290954</v>
      </c>
      <c r="H32" s="89">
        <v>13284.918664290954</v>
      </c>
      <c r="I32" s="87">
        <f t="shared" si="1"/>
        <v>1</v>
      </c>
    </row>
    <row r="33" spans="1:9" x14ac:dyDescent="0.25">
      <c r="A33" s="86">
        <v>30</v>
      </c>
      <c r="B33" s="86" t="s">
        <v>583</v>
      </c>
      <c r="C33" s="97" t="s">
        <v>456</v>
      </c>
      <c r="D33" s="96" t="s">
        <v>137</v>
      </c>
      <c r="E33" s="94" t="s">
        <v>970</v>
      </c>
      <c r="F33" s="98">
        <v>1</v>
      </c>
      <c r="G33" s="90">
        <f t="shared" si="0"/>
        <v>7969.4909162262011</v>
      </c>
      <c r="H33" s="89">
        <v>7969.4909162262011</v>
      </c>
      <c r="I33" s="87">
        <f t="shared" si="1"/>
        <v>1</v>
      </c>
    </row>
    <row r="34" spans="1:9" x14ac:dyDescent="0.25">
      <c r="A34" s="86">
        <v>31</v>
      </c>
      <c r="B34" s="86" t="s">
        <v>584</v>
      </c>
      <c r="C34" s="97" t="s">
        <v>457</v>
      </c>
      <c r="D34" s="96" t="s">
        <v>138</v>
      </c>
      <c r="E34" s="94" t="s">
        <v>970</v>
      </c>
      <c r="F34" s="98">
        <v>1</v>
      </c>
      <c r="G34" s="90">
        <f t="shared" si="0"/>
        <v>7969.4909162262011</v>
      </c>
      <c r="H34" s="89">
        <v>7969.4909162262011</v>
      </c>
      <c r="I34" s="87">
        <f t="shared" si="1"/>
        <v>1</v>
      </c>
    </row>
    <row r="35" spans="1:9" x14ac:dyDescent="0.25">
      <c r="A35" s="86">
        <v>32</v>
      </c>
      <c r="B35" s="86" t="s">
        <v>585</v>
      </c>
      <c r="C35" s="97" t="s">
        <v>458</v>
      </c>
      <c r="D35" s="96" t="s">
        <v>139</v>
      </c>
      <c r="E35" s="94" t="s">
        <v>970</v>
      </c>
      <c r="F35" s="98">
        <v>1</v>
      </c>
      <c r="G35" s="90">
        <f t="shared" si="0"/>
        <v>3661.6579885363635</v>
      </c>
      <c r="H35" s="89">
        <v>3661.6579885363635</v>
      </c>
      <c r="I35" s="87">
        <f t="shared" si="1"/>
        <v>1</v>
      </c>
    </row>
    <row r="36" spans="1:9" x14ac:dyDescent="0.25">
      <c r="A36" s="86">
        <v>33</v>
      </c>
      <c r="B36" s="86" t="s">
        <v>586</v>
      </c>
      <c r="C36" s="97" t="s">
        <v>459</v>
      </c>
      <c r="D36" s="96" t="s">
        <v>140</v>
      </c>
      <c r="E36" s="94" t="s">
        <v>970</v>
      </c>
      <c r="F36" s="98">
        <v>3</v>
      </c>
      <c r="G36" s="90">
        <f t="shared" ref="G36:G67" si="2">H36/F36</f>
        <v>3319.7085386265203</v>
      </c>
      <c r="H36" s="89">
        <v>9959.1256158795604</v>
      </c>
      <c r="I36" s="87">
        <f t="shared" ref="I36:I67" si="3">COUNTIF($D$4:$D$130,D36)</f>
        <v>1</v>
      </c>
    </row>
    <row r="37" spans="1:9" x14ac:dyDescent="0.25">
      <c r="A37" s="86">
        <v>34</v>
      </c>
      <c r="B37" s="86" t="s">
        <v>587</v>
      </c>
      <c r="C37" s="97" t="s">
        <v>460</v>
      </c>
      <c r="D37" s="96" t="s">
        <v>141</v>
      </c>
      <c r="E37" s="94" t="s">
        <v>970</v>
      </c>
      <c r="F37" s="98">
        <v>2</v>
      </c>
      <c r="G37" s="90">
        <f t="shared" si="2"/>
        <v>10964.89508331901</v>
      </c>
      <c r="H37" s="89">
        <v>21929.79016663802</v>
      </c>
      <c r="I37" s="87">
        <f t="shared" si="3"/>
        <v>1</v>
      </c>
    </row>
    <row r="38" spans="1:9" x14ac:dyDescent="0.25">
      <c r="A38" s="86">
        <v>35</v>
      </c>
      <c r="B38" s="86" t="s">
        <v>588</v>
      </c>
      <c r="C38" s="97" t="s">
        <v>461</v>
      </c>
      <c r="D38" s="96" t="s">
        <v>142</v>
      </c>
      <c r="E38" s="94" t="s">
        <v>970</v>
      </c>
      <c r="F38" s="98">
        <v>1</v>
      </c>
      <c r="G38" s="90">
        <f t="shared" si="2"/>
        <v>1073.3075260515361</v>
      </c>
      <c r="H38" s="89">
        <v>1073.3075260515361</v>
      </c>
      <c r="I38" s="87">
        <f t="shared" si="3"/>
        <v>1</v>
      </c>
    </row>
    <row r="39" spans="1:9" x14ac:dyDescent="0.25">
      <c r="A39" s="86">
        <v>36</v>
      </c>
      <c r="B39" s="86" t="s">
        <v>589</v>
      </c>
      <c r="C39" s="97" t="s">
        <v>462</v>
      </c>
      <c r="D39" s="96" t="s">
        <v>143</v>
      </c>
      <c r="E39" s="94" t="s">
        <v>970</v>
      </c>
      <c r="F39" s="98">
        <v>3</v>
      </c>
      <c r="G39" s="90">
        <f t="shared" si="2"/>
        <v>2426.5025022072145</v>
      </c>
      <c r="H39" s="89">
        <v>7279.5075066216432</v>
      </c>
      <c r="I39" s="87">
        <f t="shared" si="3"/>
        <v>1</v>
      </c>
    </row>
    <row r="40" spans="1:9" x14ac:dyDescent="0.25">
      <c r="A40" s="86">
        <v>37</v>
      </c>
      <c r="B40" s="86" t="s">
        <v>590</v>
      </c>
      <c r="C40" s="97" t="s">
        <v>463</v>
      </c>
      <c r="D40" s="96" t="s">
        <v>854</v>
      </c>
      <c r="E40" s="94" t="s">
        <v>970</v>
      </c>
      <c r="F40" s="98">
        <v>1</v>
      </c>
      <c r="G40" s="90">
        <f t="shared" si="2"/>
        <v>907.2</v>
      </c>
      <c r="H40" s="89">
        <v>907.2</v>
      </c>
      <c r="I40" s="87">
        <f t="shared" si="3"/>
        <v>1</v>
      </c>
    </row>
    <row r="41" spans="1:9" x14ac:dyDescent="0.25">
      <c r="A41" s="86">
        <v>38</v>
      </c>
      <c r="B41" s="86" t="s">
        <v>591</v>
      </c>
      <c r="C41" s="97" t="s">
        <v>464</v>
      </c>
      <c r="D41" s="96" t="s">
        <v>855</v>
      </c>
      <c r="E41" s="94" t="s">
        <v>970</v>
      </c>
      <c r="F41" s="98">
        <v>2</v>
      </c>
      <c r="G41" s="90">
        <f t="shared" si="2"/>
        <v>2997.12</v>
      </c>
      <c r="H41" s="89">
        <v>5994.24</v>
      </c>
      <c r="I41" s="87">
        <f t="shared" si="3"/>
        <v>1</v>
      </c>
    </row>
    <row r="42" spans="1:9" x14ac:dyDescent="0.25">
      <c r="A42" s="86">
        <v>39</v>
      </c>
      <c r="B42" s="86" t="s">
        <v>592</v>
      </c>
      <c r="C42" s="97" t="s">
        <v>465</v>
      </c>
      <c r="D42" s="96" t="s">
        <v>856</v>
      </c>
      <c r="E42" s="94" t="s">
        <v>970</v>
      </c>
      <c r="F42" s="98">
        <v>1</v>
      </c>
      <c r="G42" s="90">
        <f t="shared" si="2"/>
        <v>4105.92</v>
      </c>
      <c r="H42" s="89">
        <v>4105.92</v>
      </c>
      <c r="I42" s="87">
        <f t="shared" si="3"/>
        <v>1</v>
      </c>
    </row>
    <row r="43" spans="1:9" x14ac:dyDescent="0.25">
      <c r="A43" s="86">
        <v>40</v>
      </c>
      <c r="B43" s="86" t="s">
        <v>593</v>
      </c>
      <c r="C43" s="97" t="s">
        <v>466</v>
      </c>
      <c r="D43" s="96" t="s">
        <v>857</v>
      </c>
      <c r="E43" s="94" t="s">
        <v>970</v>
      </c>
      <c r="F43" s="98">
        <v>1</v>
      </c>
      <c r="G43" s="90">
        <f t="shared" si="2"/>
        <v>2657.76</v>
      </c>
      <c r="H43" s="89">
        <v>2657.76</v>
      </c>
      <c r="I43" s="87">
        <f t="shared" si="3"/>
        <v>1</v>
      </c>
    </row>
    <row r="44" spans="1:9" ht="25" x14ac:dyDescent="0.25">
      <c r="A44" s="86">
        <v>41</v>
      </c>
      <c r="B44" s="86" t="s">
        <v>594</v>
      </c>
      <c r="C44" s="97" t="s">
        <v>467</v>
      </c>
      <c r="D44" s="96" t="s">
        <v>858</v>
      </c>
      <c r="E44" s="94" t="s">
        <v>970</v>
      </c>
      <c r="F44" s="98">
        <v>30</v>
      </c>
      <c r="G44" s="90">
        <f t="shared" si="2"/>
        <v>1281.3920000000001</v>
      </c>
      <c r="H44" s="89">
        <v>38441.760000000002</v>
      </c>
      <c r="I44" s="87">
        <f t="shared" si="3"/>
        <v>2</v>
      </c>
    </row>
    <row r="45" spans="1:9" x14ac:dyDescent="0.25">
      <c r="A45" s="86">
        <v>42</v>
      </c>
      <c r="B45" s="86" t="s">
        <v>595</v>
      </c>
      <c r="C45" s="97" t="s">
        <v>468</v>
      </c>
      <c r="D45" s="96" t="s">
        <v>859</v>
      </c>
      <c r="E45" s="94" t="s">
        <v>970</v>
      </c>
      <c r="F45" s="98">
        <v>5</v>
      </c>
      <c r="G45" s="90">
        <f t="shared" si="2"/>
        <v>1069.152</v>
      </c>
      <c r="H45" s="89">
        <v>5345.76</v>
      </c>
      <c r="I45" s="87">
        <f t="shared" si="3"/>
        <v>1</v>
      </c>
    </row>
    <row r="46" spans="1:9" x14ac:dyDescent="0.25">
      <c r="A46" s="86">
        <v>43</v>
      </c>
      <c r="B46" s="86" t="s">
        <v>596</v>
      </c>
      <c r="C46" s="97" t="s">
        <v>469</v>
      </c>
      <c r="D46" s="96" t="s">
        <v>860</v>
      </c>
      <c r="E46" s="94" t="s">
        <v>970</v>
      </c>
      <c r="F46" s="98">
        <v>3</v>
      </c>
      <c r="G46" s="90">
        <f t="shared" si="2"/>
        <v>11863.04</v>
      </c>
      <c r="H46" s="89">
        <v>35589.120000000003</v>
      </c>
      <c r="I46" s="87">
        <f t="shared" si="3"/>
        <v>1</v>
      </c>
    </row>
    <row r="47" spans="1:9" ht="25" x14ac:dyDescent="0.25">
      <c r="A47" s="86">
        <v>44</v>
      </c>
      <c r="B47" s="86" t="s">
        <v>597</v>
      </c>
      <c r="C47" s="97" t="s">
        <v>470</v>
      </c>
      <c r="D47" s="96" t="s">
        <v>861</v>
      </c>
      <c r="E47" s="94" t="s">
        <v>970</v>
      </c>
      <c r="F47" s="98">
        <v>4</v>
      </c>
      <c r="G47" s="90">
        <f t="shared" si="2"/>
        <v>45363.360000000001</v>
      </c>
      <c r="H47" s="89">
        <v>181453.44</v>
      </c>
      <c r="I47" s="87">
        <f t="shared" si="3"/>
        <v>1</v>
      </c>
    </row>
    <row r="48" spans="1:9" x14ac:dyDescent="0.25">
      <c r="A48" s="86">
        <v>45</v>
      </c>
      <c r="B48" s="86" t="s">
        <v>598</v>
      </c>
      <c r="C48" s="97" t="s">
        <v>471</v>
      </c>
      <c r="D48" s="96" t="s">
        <v>862</v>
      </c>
      <c r="E48" s="94" t="s">
        <v>970</v>
      </c>
      <c r="F48" s="98">
        <v>1</v>
      </c>
      <c r="G48" s="90">
        <f t="shared" si="2"/>
        <v>5994.24</v>
      </c>
      <c r="H48" s="89">
        <v>5994.24</v>
      </c>
      <c r="I48" s="87">
        <f t="shared" si="3"/>
        <v>1</v>
      </c>
    </row>
    <row r="49" spans="1:9" x14ac:dyDescent="0.25">
      <c r="A49" s="86">
        <v>46</v>
      </c>
      <c r="B49" s="86" t="s">
        <v>599</v>
      </c>
      <c r="C49" s="97" t="s">
        <v>472</v>
      </c>
      <c r="D49" s="96" t="s">
        <v>863</v>
      </c>
      <c r="E49" s="94" t="s">
        <v>970</v>
      </c>
      <c r="F49" s="98">
        <v>1</v>
      </c>
      <c r="G49" s="90">
        <f t="shared" si="2"/>
        <v>6488.16</v>
      </c>
      <c r="H49" s="89">
        <v>6488.16</v>
      </c>
      <c r="I49" s="87">
        <f t="shared" si="3"/>
        <v>1</v>
      </c>
    </row>
    <row r="50" spans="1:9" x14ac:dyDescent="0.25">
      <c r="A50" s="86">
        <v>47</v>
      </c>
      <c r="B50" s="86" t="s">
        <v>600</v>
      </c>
      <c r="C50" s="97" t="s">
        <v>473</v>
      </c>
      <c r="D50" s="96" t="s">
        <v>864</v>
      </c>
      <c r="E50" s="94" t="s">
        <v>970</v>
      </c>
      <c r="F50" s="98">
        <v>2</v>
      </c>
      <c r="G50" s="90">
        <f t="shared" si="2"/>
        <v>5995.92</v>
      </c>
      <c r="H50" s="89">
        <v>11991.84</v>
      </c>
      <c r="I50" s="87">
        <f t="shared" si="3"/>
        <v>1</v>
      </c>
    </row>
    <row r="51" spans="1:9" x14ac:dyDescent="0.25">
      <c r="A51" s="86">
        <v>48</v>
      </c>
      <c r="B51" s="86" t="s">
        <v>601</v>
      </c>
      <c r="C51" s="97" t="s">
        <v>474</v>
      </c>
      <c r="D51" s="96" t="s">
        <v>865</v>
      </c>
      <c r="E51" s="94" t="s">
        <v>970</v>
      </c>
      <c r="F51" s="98">
        <v>2</v>
      </c>
      <c r="G51" s="90">
        <f t="shared" si="2"/>
        <v>6489.84</v>
      </c>
      <c r="H51" s="89">
        <v>12979.68</v>
      </c>
      <c r="I51" s="87">
        <f t="shared" si="3"/>
        <v>1</v>
      </c>
    </row>
    <row r="52" spans="1:9" x14ac:dyDescent="0.25">
      <c r="A52" s="86">
        <v>49</v>
      </c>
      <c r="B52" s="86" t="s">
        <v>602</v>
      </c>
      <c r="C52" s="97" t="s">
        <v>475</v>
      </c>
      <c r="D52" s="96" t="s">
        <v>866</v>
      </c>
      <c r="E52" s="94" t="s">
        <v>970</v>
      </c>
      <c r="F52" s="98">
        <v>2</v>
      </c>
      <c r="G52" s="90">
        <f t="shared" si="2"/>
        <v>100739.52</v>
      </c>
      <c r="H52" s="89">
        <v>201479.04000000001</v>
      </c>
      <c r="I52" s="87">
        <f t="shared" si="3"/>
        <v>1</v>
      </c>
    </row>
    <row r="53" spans="1:9" x14ac:dyDescent="0.25">
      <c r="A53" s="86">
        <v>50</v>
      </c>
      <c r="B53" s="86" t="s">
        <v>603</v>
      </c>
      <c r="C53" s="97" t="s">
        <v>476</v>
      </c>
      <c r="D53" s="96" t="s">
        <v>867</v>
      </c>
      <c r="E53" s="94" t="s">
        <v>1036</v>
      </c>
      <c r="F53" s="98">
        <v>1</v>
      </c>
      <c r="G53" s="90">
        <f t="shared" si="2"/>
        <v>142679.04000000001</v>
      </c>
      <c r="H53" s="89">
        <v>142679.04000000001</v>
      </c>
      <c r="I53" s="87">
        <f t="shared" si="3"/>
        <v>1</v>
      </c>
    </row>
    <row r="54" spans="1:9" ht="25" x14ac:dyDescent="0.25">
      <c r="A54" s="86">
        <v>51</v>
      </c>
      <c r="B54" s="86" t="s">
        <v>604</v>
      </c>
      <c r="C54" s="97" t="s">
        <v>477</v>
      </c>
      <c r="D54" s="96" t="s">
        <v>868</v>
      </c>
      <c r="E54" s="94" t="s">
        <v>1036</v>
      </c>
      <c r="F54" s="98">
        <v>3</v>
      </c>
      <c r="G54" s="90">
        <f t="shared" si="2"/>
        <v>107923.2</v>
      </c>
      <c r="H54" s="89">
        <v>323769.59999999998</v>
      </c>
      <c r="I54" s="87">
        <f t="shared" si="3"/>
        <v>1</v>
      </c>
    </row>
    <row r="55" spans="1:9" ht="25" x14ac:dyDescent="0.25">
      <c r="A55" s="86">
        <v>52</v>
      </c>
      <c r="B55" s="86" t="s">
        <v>605</v>
      </c>
      <c r="C55" s="97" t="s">
        <v>478</v>
      </c>
      <c r="D55" s="96" t="s">
        <v>869</v>
      </c>
      <c r="E55" s="94" t="s">
        <v>1036</v>
      </c>
      <c r="F55" s="98">
        <v>1</v>
      </c>
      <c r="G55" s="90">
        <f t="shared" si="2"/>
        <v>75361.440000000002</v>
      </c>
      <c r="H55" s="89">
        <v>75361.440000000002</v>
      </c>
      <c r="I55" s="87">
        <f t="shared" si="3"/>
        <v>1</v>
      </c>
    </row>
    <row r="56" spans="1:9" x14ac:dyDescent="0.25">
      <c r="A56" s="86">
        <v>53</v>
      </c>
      <c r="B56" s="86" t="s">
        <v>606</v>
      </c>
      <c r="C56" s="97" t="s">
        <v>479</v>
      </c>
      <c r="D56" s="96" t="s">
        <v>870</v>
      </c>
      <c r="E56" s="94" t="s">
        <v>1036</v>
      </c>
      <c r="F56" s="98">
        <v>1</v>
      </c>
      <c r="G56" s="90">
        <f t="shared" si="2"/>
        <v>83287.679999999993</v>
      </c>
      <c r="H56" s="89">
        <v>83287.679999999993</v>
      </c>
      <c r="I56" s="87">
        <f t="shared" si="3"/>
        <v>1</v>
      </c>
    </row>
    <row r="57" spans="1:9" ht="25" x14ac:dyDescent="0.25">
      <c r="A57" s="86">
        <v>54</v>
      </c>
      <c r="B57" s="86" t="s">
        <v>607</v>
      </c>
      <c r="C57" s="97" t="s">
        <v>480</v>
      </c>
      <c r="D57" s="96" t="s">
        <v>871</v>
      </c>
      <c r="E57" s="94" t="s">
        <v>970</v>
      </c>
      <c r="F57" s="98">
        <v>3</v>
      </c>
      <c r="G57" s="90">
        <f t="shared" si="2"/>
        <v>62583.359999999993</v>
      </c>
      <c r="H57" s="89">
        <v>187750.08</v>
      </c>
      <c r="I57" s="87">
        <f t="shared" si="3"/>
        <v>1</v>
      </c>
    </row>
    <row r="58" spans="1:9" x14ac:dyDescent="0.25">
      <c r="A58" s="86">
        <v>55</v>
      </c>
      <c r="B58" s="86" t="s">
        <v>608</v>
      </c>
      <c r="C58" s="97" t="s">
        <v>481</v>
      </c>
      <c r="D58" s="96" t="s">
        <v>872</v>
      </c>
      <c r="E58" s="94" t="s">
        <v>970</v>
      </c>
      <c r="F58" s="98">
        <v>26</v>
      </c>
      <c r="G58" s="90">
        <f t="shared" si="2"/>
        <v>3419.7046153846159</v>
      </c>
      <c r="H58" s="89">
        <v>88912.320000000007</v>
      </c>
      <c r="I58" s="87">
        <f t="shared" si="3"/>
        <v>1</v>
      </c>
    </row>
    <row r="59" spans="1:9" x14ac:dyDescent="0.25">
      <c r="A59" s="86">
        <v>56</v>
      </c>
      <c r="B59" s="86" t="s">
        <v>609</v>
      </c>
      <c r="C59" s="97" t="s">
        <v>482</v>
      </c>
      <c r="D59" s="96" t="s">
        <v>873</v>
      </c>
      <c r="E59" s="94" t="s">
        <v>970</v>
      </c>
      <c r="F59" s="98">
        <v>2</v>
      </c>
      <c r="G59" s="90">
        <f t="shared" si="2"/>
        <v>2536.8000000000002</v>
      </c>
      <c r="H59" s="89">
        <v>5073.6000000000004</v>
      </c>
      <c r="I59" s="87">
        <f t="shared" si="3"/>
        <v>1</v>
      </c>
    </row>
    <row r="60" spans="1:9" x14ac:dyDescent="0.25">
      <c r="A60" s="86">
        <v>57</v>
      </c>
      <c r="B60" s="86" t="s">
        <v>610</v>
      </c>
      <c r="C60" s="97" t="s">
        <v>483</v>
      </c>
      <c r="D60" s="96" t="s">
        <v>876</v>
      </c>
      <c r="E60" s="94" t="s">
        <v>970</v>
      </c>
      <c r="F60" s="98">
        <v>1</v>
      </c>
      <c r="G60" s="90">
        <f t="shared" si="2"/>
        <v>31069.919999999998</v>
      </c>
      <c r="H60" s="89">
        <v>31069.919999999998</v>
      </c>
      <c r="I60" s="87">
        <f t="shared" si="3"/>
        <v>2</v>
      </c>
    </row>
    <row r="61" spans="1:9" x14ac:dyDescent="0.25">
      <c r="A61" s="86">
        <v>58</v>
      </c>
      <c r="B61" s="86" t="s">
        <v>611</v>
      </c>
      <c r="C61" s="97" t="s">
        <v>484</v>
      </c>
      <c r="D61" s="96" t="s">
        <v>877</v>
      </c>
      <c r="E61" s="94" t="s">
        <v>970</v>
      </c>
      <c r="F61" s="98">
        <v>1</v>
      </c>
      <c r="G61" s="90">
        <f t="shared" si="2"/>
        <v>464536.8</v>
      </c>
      <c r="H61" s="89">
        <v>464536.8</v>
      </c>
      <c r="I61" s="87">
        <f t="shared" si="3"/>
        <v>2</v>
      </c>
    </row>
    <row r="62" spans="1:9" x14ac:dyDescent="0.25">
      <c r="A62" s="86">
        <v>59</v>
      </c>
      <c r="B62" s="86" t="s">
        <v>612</v>
      </c>
      <c r="C62" s="97" t="s">
        <v>485</v>
      </c>
      <c r="D62" s="96" t="s">
        <v>878</v>
      </c>
      <c r="E62" s="94" t="s">
        <v>970</v>
      </c>
      <c r="F62" s="98">
        <v>1</v>
      </c>
      <c r="G62" s="90">
        <f t="shared" si="2"/>
        <v>24682.560000000001</v>
      </c>
      <c r="H62" s="89">
        <v>24682.560000000001</v>
      </c>
      <c r="I62" s="87">
        <f t="shared" si="3"/>
        <v>2</v>
      </c>
    </row>
    <row r="63" spans="1:9" x14ac:dyDescent="0.25">
      <c r="A63" s="86">
        <v>60</v>
      </c>
      <c r="B63" s="86" t="s">
        <v>613</v>
      </c>
      <c r="C63" s="97" t="s">
        <v>486</v>
      </c>
      <c r="D63" s="96" t="s">
        <v>879</v>
      </c>
      <c r="E63" s="94" t="s">
        <v>970</v>
      </c>
      <c r="F63" s="98">
        <v>1</v>
      </c>
      <c r="G63" s="90">
        <f t="shared" si="2"/>
        <v>20116.32</v>
      </c>
      <c r="H63" s="89">
        <v>20116.32</v>
      </c>
      <c r="I63" s="87">
        <f t="shared" si="3"/>
        <v>1</v>
      </c>
    </row>
    <row r="64" spans="1:9" x14ac:dyDescent="0.25">
      <c r="A64" s="86">
        <v>61</v>
      </c>
      <c r="B64" s="86" t="s">
        <v>614</v>
      </c>
      <c r="C64" s="97" t="s">
        <v>487</v>
      </c>
      <c r="D64" s="96" t="s">
        <v>880</v>
      </c>
      <c r="E64" s="94" t="s">
        <v>970</v>
      </c>
      <c r="F64" s="98">
        <v>2</v>
      </c>
      <c r="G64" s="90">
        <f t="shared" si="2"/>
        <v>43248.24</v>
      </c>
      <c r="H64" s="89">
        <v>86496.48</v>
      </c>
      <c r="I64" s="87">
        <f t="shared" si="3"/>
        <v>2</v>
      </c>
    </row>
    <row r="65" spans="1:9" x14ac:dyDescent="0.25">
      <c r="A65" s="86">
        <v>62</v>
      </c>
      <c r="B65" s="86" t="s">
        <v>615</v>
      </c>
      <c r="C65" s="97" t="s">
        <v>488</v>
      </c>
      <c r="D65" s="96" t="s">
        <v>881</v>
      </c>
      <c r="E65" s="94" t="s">
        <v>970</v>
      </c>
      <c r="F65" s="98">
        <v>1</v>
      </c>
      <c r="G65" s="90">
        <f t="shared" si="2"/>
        <v>80045.279999999999</v>
      </c>
      <c r="H65" s="89">
        <v>80045.279999999999</v>
      </c>
      <c r="I65" s="87">
        <f t="shared" si="3"/>
        <v>2</v>
      </c>
    </row>
    <row r="66" spans="1:9" x14ac:dyDescent="0.25">
      <c r="A66" s="86">
        <v>63</v>
      </c>
      <c r="B66" s="86" t="s">
        <v>616</v>
      </c>
      <c r="C66" s="97" t="s">
        <v>489</v>
      </c>
      <c r="D66" s="96" t="s">
        <v>882</v>
      </c>
      <c r="E66" s="94" t="s">
        <v>970</v>
      </c>
      <c r="F66" s="98">
        <v>2</v>
      </c>
      <c r="G66" s="90">
        <f t="shared" si="2"/>
        <v>83070.960000000006</v>
      </c>
      <c r="H66" s="89">
        <v>166141.92000000001</v>
      </c>
      <c r="I66" s="87">
        <f t="shared" si="3"/>
        <v>2</v>
      </c>
    </row>
    <row r="67" spans="1:9" x14ac:dyDescent="0.25">
      <c r="A67" s="86">
        <v>64</v>
      </c>
      <c r="B67" s="86" t="s">
        <v>617</v>
      </c>
      <c r="C67" s="97" t="s">
        <v>490</v>
      </c>
      <c r="D67" s="96" t="s">
        <v>883</v>
      </c>
      <c r="E67" s="94" t="s">
        <v>970</v>
      </c>
      <c r="F67" s="98">
        <v>5</v>
      </c>
      <c r="G67" s="90">
        <f t="shared" si="2"/>
        <v>6442543.9680000003</v>
      </c>
      <c r="H67" s="89">
        <v>32212719.84</v>
      </c>
      <c r="I67" s="87">
        <f t="shared" si="3"/>
        <v>2</v>
      </c>
    </row>
    <row r="68" spans="1:9" x14ac:dyDescent="0.25">
      <c r="A68" s="86">
        <v>65</v>
      </c>
      <c r="B68" s="86" t="s">
        <v>618</v>
      </c>
      <c r="C68" s="97" t="s">
        <v>491</v>
      </c>
      <c r="D68" s="96" t="s">
        <v>884</v>
      </c>
      <c r="E68" s="94" t="s">
        <v>970</v>
      </c>
      <c r="F68" s="98">
        <v>2</v>
      </c>
      <c r="G68" s="90">
        <f t="shared" ref="G68:G99" si="4">H68/F68</f>
        <v>17053.68</v>
      </c>
      <c r="H68" s="89">
        <v>34107.360000000001</v>
      </c>
      <c r="I68" s="87">
        <f t="shared" ref="I68:I99" si="5">COUNTIF($D$4:$D$130,D68)</f>
        <v>2</v>
      </c>
    </row>
    <row r="69" spans="1:9" x14ac:dyDescent="0.25">
      <c r="A69" s="86">
        <v>66</v>
      </c>
      <c r="B69" s="86" t="s">
        <v>619</v>
      </c>
      <c r="C69" s="97" t="s">
        <v>492</v>
      </c>
      <c r="D69" s="96" t="s">
        <v>885</v>
      </c>
      <c r="E69" s="94" t="s">
        <v>970</v>
      </c>
      <c r="F69" s="98">
        <v>1</v>
      </c>
      <c r="G69" s="90">
        <f t="shared" si="4"/>
        <v>21621.599999999999</v>
      </c>
      <c r="H69" s="89">
        <v>21621.599999999999</v>
      </c>
      <c r="I69" s="87">
        <f t="shared" si="5"/>
        <v>1</v>
      </c>
    </row>
    <row r="70" spans="1:9" x14ac:dyDescent="0.25">
      <c r="A70" s="86">
        <v>67</v>
      </c>
      <c r="B70" s="86" t="s">
        <v>620</v>
      </c>
      <c r="C70" s="97" t="s">
        <v>493</v>
      </c>
      <c r="D70" s="96" t="s">
        <v>886</v>
      </c>
      <c r="E70" s="94" t="s">
        <v>970</v>
      </c>
      <c r="F70" s="98">
        <v>1</v>
      </c>
      <c r="G70" s="90">
        <f t="shared" si="4"/>
        <v>16151.52</v>
      </c>
      <c r="H70" s="89">
        <v>16151.52</v>
      </c>
      <c r="I70" s="87">
        <f t="shared" si="5"/>
        <v>1</v>
      </c>
    </row>
    <row r="71" spans="1:9" x14ac:dyDescent="0.25">
      <c r="A71" s="86">
        <v>68</v>
      </c>
      <c r="B71" s="86" t="s">
        <v>621</v>
      </c>
      <c r="C71" s="97" t="s">
        <v>494</v>
      </c>
      <c r="D71" s="96" t="s">
        <v>887</v>
      </c>
      <c r="E71" s="94" t="s">
        <v>970</v>
      </c>
      <c r="F71" s="98">
        <v>1</v>
      </c>
      <c r="G71" s="90">
        <f t="shared" si="4"/>
        <v>15456</v>
      </c>
      <c r="H71" s="89">
        <v>15456</v>
      </c>
      <c r="I71" s="87">
        <f t="shared" si="5"/>
        <v>1</v>
      </c>
    </row>
    <row r="72" spans="1:9" x14ac:dyDescent="0.25">
      <c r="A72" s="86">
        <v>69</v>
      </c>
      <c r="B72" s="86" t="s">
        <v>622</v>
      </c>
      <c r="C72" s="97" t="s">
        <v>495</v>
      </c>
      <c r="D72" s="96" t="s">
        <v>888</v>
      </c>
      <c r="E72" s="94" t="s">
        <v>970</v>
      </c>
      <c r="F72" s="98">
        <v>3</v>
      </c>
      <c r="G72" s="90">
        <f t="shared" si="4"/>
        <v>850.07999999999993</v>
      </c>
      <c r="H72" s="89">
        <v>2550.2399999999998</v>
      </c>
      <c r="I72" s="87">
        <f t="shared" si="5"/>
        <v>2</v>
      </c>
    </row>
    <row r="73" spans="1:9" x14ac:dyDescent="0.25">
      <c r="A73" s="86">
        <v>70</v>
      </c>
      <c r="B73" s="86" t="s">
        <v>623</v>
      </c>
      <c r="C73" s="97" t="s">
        <v>496</v>
      </c>
      <c r="D73" s="96" t="s">
        <v>889</v>
      </c>
      <c r="E73" s="94" t="s">
        <v>970</v>
      </c>
      <c r="F73" s="98">
        <v>1</v>
      </c>
      <c r="G73" s="90">
        <f t="shared" si="4"/>
        <v>7465.92</v>
      </c>
      <c r="H73" s="89">
        <v>7465.92</v>
      </c>
      <c r="I73" s="87">
        <f t="shared" si="5"/>
        <v>2</v>
      </c>
    </row>
    <row r="74" spans="1:9" x14ac:dyDescent="0.25">
      <c r="A74" s="86">
        <v>71</v>
      </c>
      <c r="B74" s="86" t="s">
        <v>624</v>
      </c>
      <c r="C74" s="97" t="s">
        <v>497</v>
      </c>
      <c r="D74" s="96" t="s">
        <v>890</v>
      </c>
      <c r="E74" s="94" t="s">
        <v>970</v>
      </c>
      <c r="F74" s="98">
        <v>10</v>
      </c>
      <c r="G74" s="90">
        <f t="shared" si="4"/>
        <v>810.76800000000003</v>
      </c>
      <c r="H74" s="89">
        <v>8107.68</v>
      </c>
      <c r="I74" s="87">
        <f t="shared" si="5"/>
        <v>2</v>
      </c>
    </row>
    <row r="75" spans="1:9" x14ac:dyDescent="0.25">
      <c r="A75" s="86">
        <v>72</v>
      </c>
      <c r="B75" s="86" t="s">
        <v>625</v>
      </c>
      <c r="C75" s="97" t="s">
        <v>498</v>
      </c>
      <c r="D75" s="96" t="s">
        <v>891</v>
      </c>
      <c r="E75" s="94" t="s">
        <v>970</v>
      </c>
      <c r="F75" s="98">
        <v>2</v>
      </c>
      <c r="G75" s="90">
        <f t="shared" si="4"/>
        <v>3091.2</v>
      </c>
      <c r="H75" s="89">
        <v>6182.4</v>
      </c>
      <c r="I75" s="87">
        <f t="shared" si="5"/>
        <v>1</v>
      </c>
    </row>
    <row r="76" spans="1:9" x14ac:dyDescent="0.25">
      <c r="A76" s="86">
        <v>73</v>
      </c>
      <c r="B76" s="86" t="s">
        <v>626</v>
      </c>
      <c r="C76" s="97" t="s">
        <v>499</v>
      </c>
      <c r="D76" s="96" t="s">
        <v>892</v>
      </c>
      <c r="E76" s="94" t="s">
        <v>970</v>
      </c>
      <c r="F76" s="98">
        <v>2</v>
      </c>
      <c r="G76" s="90">
        <f t="shared" si="4"/>
        <v>3477.6</v>
      </c>
      <c r="H76" s="89">
        <v>6955.2</v>
      </c>
      <c r="I76" s="87">
        <f t="shared" si="5"/>
        <v>1</v>
      </c>
    </row>
    <row r="77" spans="1:9" x14ac:dyDescent="0.25">
      <c r="A77" s="86">
        <v>74</v>
      </c>
      <c r="B77" s="86" t="s">
        <v>627</v>
      </c>
      <c r="C77" s="97" t="s">
        <v>500</v>
      </c>
      <c r="D77" s="96" t="s">
        <v>876</v>
      </c>
      <c r="E77" s="94" t="s">
        <v>970</v>
      </c>
      <c r="F77" s="98">
        <v>1</v>
      </c>
      <c r="G77" s="90">
        <f t="shared" si="4"/>
        <v>31069.919999999998</v>
      </c>
      <c r="H77" s="89">
        <v>31069.919999999998</v>
      </c>
      <c r="I77" s="87">
        <f t="shared" si="5"/>
        <v>2</v>
      </c>
    </row>
    <row r="78" spans="1:9" x14ac:dyDescent="0.25">
      <c r="A78" s="86">
        <v>75</v>
      </c>
      <c r="B78" s="86" t="s">
        <v>628</v>
      </c>
      <c r="C78" s="97" t="s">
        <v>501</v>
      </c>
      <c r="D78" s="96" t="s">
        <v>877</v>
      </c>
      <c r="E78" s="94" t="s">
        <v>970</v>
      </c>
      <c r="F78" s="98">
        <v>1</v>
      </c>
      <c r="G78" s="90">
        <f t="shared" si="4"/>
        <v>232239.84</v>
      </c>
      <c r="H78" s="89">
        <v>232239.84</v>
      </c>
      <c r="I78" s="87">
        <f t="shared" si="5"/>
        <v>2</v>
      </c>
    </row>
    <row r="79" spans="1:9" x14ac:dyDescent="0.25">
      <c r="A79" s="86">
        <v>76</v>
      </c>
      <c r="B79" s="86" t="s">
        <v>629</v>
      </c>
      <c r="C79" s="97" t="s">
        <v>502</v>
      </c>
      <c r="D79" s="96" t="s">
        <v>878</v>
      </c>
      <c r="E79" s="94" t="s">
        <v>970</v>
      </c>
      <c r="F79" s="98">
        <v>1</v>
      </c>
      <c r="G79" s="90">
        <f t="shared" si="4"/>
        <v>24682.560000000001</v>
      </c>
      <c r="H79" s="89">
        <v>24682.560000000001</v>
      </c>
      <c r="I79" s="87">
        <f t="shared" si="5"/>
        <v>2</v>
      </c>
    </row>
    <row r="80" spans="1:9" x14ac:dyDescent="0.25">
      <c r="A80" s="86">
        <v>77</v>
      </c>
      <c r="B80" s="86" t="s">
        <v>630</v>
      </c>
      <c r="C80" s="97" t="s">
        <v>503</v>
      </c>
      <c r="D80" s="96" t="s">
        <v>880</v>
      </c>
      <c r="E80" s="94" t="s">
        <v>970</v>
      </c>
      <c r="F80" s="98">
        <v>1</v>
      </c>
      <c r="G80" s="90">
        <f t="shared" si="4"/>
        <v>43249.919999999998</v>
      </c>
      <c r="H80" s="89">
        <v>43249.919999999998</v>
      </c>
      <c r="I80" s="87">
        <f t="shared" si="5"/>
        <v>2</v>
      </c>
    </row>
    <row r="81" spans="1:9" x14ac:dyDescent="0.25">
      <c r="A81" s="86">
        <v>78</v>
      </c>
      <c r="B81" s="86" t="s">
        <v>631</v>
      </c>
      <c r="C81" s="97" t="s">
        <v>504</v>
      </c>
      <c r="D81" s="96" t="s">
        <v>881</v>
      </c>
      <c r="E81" s="94" t="s">
        <v>970</v>
      </c>
      <c r="F81" s="98">
        <v>1</v>
      </c>
      <c r="G81" s="90">
        <f t="shared" si="4"/>
        <v>80045.279999999999</v>
      </c>
      <c r="H81" s="89">
        <v>80045.279999999999</v>
      </c>
      <c r="I81" s="87">
        <f t="shared" si="5"/>
        <v>2</v>
      </c>
    </row>
    <row r="82" spans="1:9" x14ac:dyDescent="0.25">
      <c r="A82" s="86">
        <v>79</v>
      </c>
      <c r="B82" s="86" t="s">
        <v>632</v>
      </c>
      <c r="C82" s="97" t="s">
        <v>505</v>
      </c>
      <c r="D82" s="96" t="s">
        <v>882</v>
      </c>
      <c r="E82" s="94" t="s">
        <v>970</v>
      </c>
      <c r="F82" s="98">
        <v>1</v>
      </c>
      <c r="G82" s="90">
        <f t="shared" si="4"/>
        <v>83069.279999999999</v>
      </c>
      <c r="H82" s="89">
        <v>83069.279999999999</v>
      </c>
      <c r="I82" s="87">
        <f t="shared" si="5"/>
        <v>2</v>
      </c>
    </row>
    <row r="83" spans="1:9" x14ac:dyDescent="0.25">
      <c r="A83" s="86">
        <v>80</v>
      </c>
      <c r="B83" s="86" t="s">
        <v>633</v>
      </c>
      <c r="C83" s="97" t="s">
        <v>506</v>
      </c>
      <c r="D83" s="96" t="s">
        <v>883</v>
      </c>
      <c r="E83" s="94" t="s">
        <v>970</v>
      </c>
      <c r="F83" s="98">
        <v>1</v>
      </c>
      <c r="G83" s="90">
        <f t="shared" si="4"/>
        <v>6442544.6399999997</v>
      </c>
      <c r="H83" s="89">
        <v>6442544.6399999997</v>
      </c>
      <c r="I83" s="87">
        <f t="shared" si="5"/>
        <v>2</v>
      </c>
    </row>
    <row r="84" spans="1:9" x14ac:dyDescent="0.25">
      <c r="A84" s="86">
        <v>81</v>
      </c>
      <c r="B84" s="86" t="s">
        <v>634</v>
      </c>
      <c r="C84" s="97" t="s">
        <v>507</v>
      </c>
      <c r="D84" s="96" t="s">
        <v>884</v>
      </c>
      <c r="E84" s="94" t="s">
        <v>970</v>
      </c>
      <c r="F84" s="98">
        <v>2</v>
      </c>
      <c r="G84" s="90">
        <f t="shared" si="4"/>
        <v>17053.68</v>
      </c>
      <c r="H84" s="89">
        <v>34107.360000000001</v>
      </c>
      <c r="I84" s="87">
        <f t="shared" si="5"/>
        <v>2</v>
      </c>
    </row>
    <row r="85" spans="1:9" x14ac:dyDescent="0.25">
      <c r="A85" s="86">
        <v>82</v>
      </c>
      <c r="B85" s="86" t="s">
        <v>635</v>
      </c>
      <c r="C85" s="97" t="s">
        <v>508</v>
      </c>
      <c r="D85" s="96" t="s">
        <v>894</v>
      </c>
      <c r="E85" s="94" t="s">
        <v>970</v>
      </c>
      <c r="F85" s="98">
        <v>1</v>
      </c>
      <c r="G85" s="90">
        <f t="shared" si="4"/>
        <v>546860.16</v>
      </c>
      <c r="H85" s="89">
        <v>546860.16</v>
      </c>
      <c r="I85" s="87">
        <f t="shared" si="5"/>
        <v>1</v>
      </c>
    </row>
    <row r="86" spans="1:9" x14ac:dyDescent="0.25">
      <c r="A86" s="86">
        <v>83</v>
      </c>
      <c r="B86" s="86" t="s">
        <v>636</v>
      </c>
      <c r="C86" s="97" t="s">
        <v>509</v>
      </c>
      <c r="D86" s="96" t="s">
        <v>888</v>
      </c>
      <c r="E86" s="94" t="s">
        <v>970</v>
      </c>
      <c r="F86" s="98">
        <v>3</v>
      </c>
      <c r="G86" s="90">
        <f t="shared" si="4"/>
        <v>850.07999999999993</v>
      </c>
      <c r="H86" s="89">
        <v>2550.2399999999998</v>
      </c>
      <c r="I86" s="87">
        <f t="shared" si="5"/>
        <v>2</v>
      </c>
    </row>
    <row r="87" spans="1:9" x14ac:dyDescent="0.25">
      <c r="A87" s="86">
        <v>84</v>
      </c>
      <c r="B87" s="86" t="s">
        <v>637</v>
      </c>
      <c r="C87" s="97" t="s">
        <v>510</v>
      </c>
      <c r="D87" s="91" t="s">
        <v>889</v>
      </c>
      <c r="E87" s="94" t="s">
        <v>970</v>
      </c>
      <c r="F87" s="98">
        <v>1</v>
      </c>
      <c r="G87" s="90">
        <f t="shared" si="4"/>
        <v>7465.92</v>
      </c>
      <c r="H87" s="89">
        <v>7465.92</v>
      </c>
      <c r="I87" s="87">
        <f t="shared" si="5"/>
        <v>2</v>
      </c>
    </row>
    <row r="88" spans="1:9" x14ac:dyDescent="0.25">
      <c r="A88" s="86">
        <v>85</v>
      </c>
      <c r="B88" s="86" t="s">
        <v>638</v>
      </c>
      <c r="C88" s="97" t="s">
        <v>511</v>
      </c>
      <c r="D88" s="96" t="s">
        <v>890</v>
      </c>
      <c r="E88" s="94" t="s">
        <v>970</v>
      </c>
      <c r="F88" s="98">
        <v>5</v>
      </c>
      <c r="G88" s="90">
        <f t="shared" si="4"/>
        <v>810.43200000000002</v>
      </c>
      <c r="H88" s="89">
        <v>4052.16</v>
      </c>
      <c r="I88" s="87">
        <f t="shared" si="5"/>
        <v>2</v>
      </c>
    </row>
    <row r="89" spans="1:9" x14ac:dyDescent="0.25">
      <c r="A89" s="86">
        <v>86</v>
      </c>
      <c r="B89" s="86" t="s">
        <v>639</v>
      </c>
      <c r="C89" s="97" t="s">
        <v>512</v>
      </c>
      <c r="D89" s="96" t="s">
        <v>896</v>
      </c>
      <c r="E89" s="94" t="s">
        <v>970</v>
      </c>
      <c r="F89" s="98">
        <v>1</v>
      </c>
      <c r="G89" s="90">
        <f t="shared" si="4"/>
        <v>61333.440000000002</v>
      </c>
      <c r="H89" s="89">
        <v>61333.440000000002</v>
      </c>
      <c r="I89" s="87">
        <f t="shared" si="5"/>
        <v>2</v>
      </c>
    </row>
    <row r="90" spans="1:9" x14ac:dyDescent="0.25">
      <c r="A90" s="86">
        <v>87</v>
      </c>
      <c r="B90" s="86" t="s">
        <v>640</v>
      </c>
      <c r="C90" s="97" t="s">
        <v>513</v>
      </c>
      <c r="D90" s="96" t="s">
        <v>897</v>
      </c>
      <c r="E90" s="94" t="s">
        <v>970</v>
      </c>
      <c r="F90" s="98">
        <v>1</v>
      </c>
      <c r="G90" s="90">
        <f t="shared" si="4"/>
        <v>7620.48</v>
      </c>
      <c r="H90" s="89">
        <v>7620.48</v>
      </c>
      <c r="I90" s="87">
        <f t="shared" si="5"/>
        <v>2</v>
      </c>
    </row>
    <row r="91" spans="1:9" x14ac:dyDescent="0.25">
      <c r="A91" s="86">
        <v>88</v>
      </c>
      <c r="B91" s="86" t="s">
        <v>641</v>
      </c>
      <c r="C91" s="97" t="s">
        <v>514</v>
      </c>
      <c r="D91" s="96" t="s">
        <v>898</v>
      </c>
      <c r="E91" s="94" t="s">
        <v>970</v>
      </c>
      <c r="F91" s="98">
        <v>3</v>
      </c>
      <c r="G91" s="90">
        <f t="shared" si="4"/>
        <v>4782.4000000000005</v>
      </c>
      <c r="H91" s="89">
        <v>14347.2</v>
      </c>
      <c r="I91" s="87">
        <f t="shared" si="5"/>
        <v>2</v>
      </c>
    </row>
    <row r="92" spans="1:9" x14ac:dyDescent="0.25">
      <c r="A92" s="86">
        <v>89</v>
      </c>
      <c r="B92" s="86" t="s">
        <v>642</v>
      </c>
      <c r="C92" s="97" t="s">
        <v>515</v>
      </c>
      <c r="D92" s="96" t="s">
        <v>899</v>
      </c>
      <c r="E92" s="94" t="s">
        <v>970</v>
      </c>
      <c r="F92" s="98">
        <v>3</v>
      </c>
      <c r="G92" s="90">
        <f t="shared" si="4"/>
        <v>5477.9199999999992</v>
      </c>
      <c r="H92" s="89">
        <v>16433.759999999998</v>
      </c>
      <c r="I92" s="87">
        <f t="shared" si="5"/>
        <v>2</v>
      </c>
    </row>
    <row r="93" spans="1:9" x14ac:dyDescent="0.25">
      <c r="A93" s="86">
        <v>90</v>
      </c>
      <c r="B93" s="86" t="s">
        <v>643</v>
      </c>
      <c r="C93" s="97" t="s">
        <v>516</v>
      </c>
      <c r="D93" s="96" t="s">
        <v>900</v>
      </c>
      <c r="E93" s="94" t="s">
        <v>970</v>
      </c>
      <c r="F93" s="98">
        <v>2</v>
      </c>
      <c r="G93" s="90">
        <f t="shared" si="4"/>
        <v>289803.36</v>
      </c>
      <c r="H93" s="89">
        <v>579606.72</v>
      </c>
      <c r="I93" s="87">
        <f t="shared" si="5"/>
        <v>1</v>
      </c>
    </row>
    <row r="94" spans="1:9" x14ac:dyDescent="0.25">
      <c r="A94" s="86">
        <v>91</v>
      </c>
      <c r="B94" s="86" t="s">
        <v>644</v>
      </c>
      <c r="C94" s="97" t="s">
        <v>517</v>
      </c>
      <c r="D94" s="96" t="s">
        <v>901</v>
      </c>
      <c r="E94" s="94" t="s">
        <v>970</v>
      </c>
      <c r="F94" s="98">
        <v>1</v>
      </c>
      <c r="G94" s="90">
        <f t="shared" si="4"/>
        <v>128761.92</v>
      </c>
      <c r="H94" s="89">
        <v>128761.92</v>
      </c>
      <c r="I94" s="87">
        <f t="shared" si="5"/>
        <v>1</v>
      </c>
    </row>
    <row r="95" spans="1:9" x14ac:dyDescent="0.25">
      <c r="A95" s="86">
        <v>92</v>
      </c>
      <c r="B95" s="86" t="s">
        <v>645</v>
      </c>
      <c r="C95" s="97" t="s">
        <v>518</v>
      </c>
      <c r="D95" s="96" t="s">
        <v>902</v>
      </c>
      <c r="E95" s="94" t="s">
        <v>970</v>
      </c>
      <c r="F95" s="98">
        <v>1</v>
      </c>
      <c r="G95" s="90">
        <f t="shared" si="4"/>
        <v>362251.68</v>
      </c>
      <c r="H95" s="89">
        <v>362251.68</v>
      </c>
      <c r="I95" s="87">
        <f t="shared" si="5"/>
        <v>1</v>
      </c>
    </row>
    <row r="96" spans="1:9" x14ac:dyDescent="0.25">
      <c r="A96" s="86">
        <v>93</v>
      </c>
      <c r="B96" s="86" t="s">
        <v>646</v>
      </c>
      <c r="C96" s="97" t="s">
        <v>519</v>
      </c>
      <c r="D96" s="96" t="s">
        <v>903</v>
      </c>
      <c r="E96" s="94" t="s">
        <v>970</v>
      </c>
      <c r="F96" s="98">
        <v>1</v>
      </c>
      <c r="G96" s="90">
        <f t="shared" si="4"/>
        <v>351385.44</v>
      </c>
      <c r="H96" s="89">
        <v>351385.44</v>
      </c>
      <c r="I96" s="87">
        <f t="shared" si="5"/>
        <v>1</v>
      </c>
    </row>
    <row r="97" spans="1:9" x14ac:dyDescent="0.25">
      <c r="A97" s="86">
        <v>94</v>
      </c>
      <c r="B97" s="86" t="s">
        <v>647</v>
      </c>
      <c r="C97" s="97" t="s">
        <v>520</v>
      </c>
      <c r="D97" s="96" t="s">
        <v>904</v>
      </c>
      <c r="E97" s="94" t="s">
        <v>970</v>
      </c>
      <c r="F97" s="98">
        <v>1</v>
      </c>
      <c r="G97" s="90">
        <f t="shared" si="4"/>
        <v>31170.720000000001</v>
      </c>
      <c r="H97" s="89">
        <v>31170.720000000001</v>
      </c>
      <c r="I97" s="87">
        <f t="shared" si="5"/>
        <v>1</v>
      </c>
    </row>
    <row r="98" spans="1:9" x14ac:dyDescent="0.25">
      <c r="A98" s="86">
        <v>95</v>
      </c>
      <c r="B98" s="86" t="s">
        <v>648</v>
      </c>
      <c r="C98" s="97" t="s">
        <v>521</v>
      </c>
      <c r="D98" s="96" t="s">
        <v>905</v>
      </c>
      <c r="E98" s="94" t="s">
        <v>970</v>
      </c>
      <c r="F98" s="98">
        <v>1</v>
      </c>
      <c r="G98" s="90">
        <f t="shared" si="4"/>
        <v>91294.56</v>
      </c>
      <c r="H98" s="89">
        <v>91294.56</v>
      </c>
      <c r="I98" s="87">
        <f t="shared" si="5"/>
        <v>1</v>
      </c>
    </row>
    <row r="99" spans="1:9" x14ac:dyDescent="0.25">
      <c r="A99" s="86">
        <v>96</v>
      </c>
      <c r="B99" s="86" t="s">
        <v>649</v>
      </c>
      <c r="C99" s="97" t="s">
        <v>522</v>
      </c>
      <c r="D99" s="96" t="s">
        <v>896</v>
      </c>
      <c r="E99" s="94" t="s">
        <v>970</v>
      </c>
      <c r="F99" s="98">
        <v>1</v>
      </c>
      <c r="G99" s="90">
        <f t="shared" si="4"/>
        <v>61333.440000000002</v>
      </c>
      <c r="H99" s="89">
        <v>61333.440000000002</v>
      </c>
      <c r="I99" s="87">
        <f t="shared" si="5"/>
        <v>2</v>
      </c>
    </row>
    <row r="100" spans="1:9" x14ac:dyDescent="0.25">
      <c r="A100" s="86">
        <v>97</v>
      </c>
      <c r="B100" s="86" t="s">
        <v>650</v>
      </c>
      <c r="C100" s="97" t="s">
        <v>523</v>
      </c>
      <c r="D100" s="96" t="s">
        <v>897</v>
      </c>
      <c r="E100" s="94" t="s">
        <v>970</v>
      </c>
      <c r="F100" s="98">
        <v>1</v>
      </c>
      <c r="G100" s="90">
        <f t="shared" ref="G100:G130" si="6">H100/F100</f>
        <v>7620.48</v>
      </c>
      <c r="H100" s="89">
        <v>7620.48</v>
      </c>
      <c r="I100" s="87">
        <f t="shared" ref="I100:I130" si="7">COUNTIF($D$4:$D$130,D100)</f>
        <v>2</v>
      </c>
    </row>
    <row r="101" spans="1:9" x14ac:dyDescent="0.25">
      <c r="A101" s="86">
        <v>98</v>
      </c>
      <c r="B101" s="86" t="s">
        <v>651</v>
      </c>
      <c r="C101" s="97" t="s">
        <v>524</v>
      </c>
      <c r="D101" s="96" t="s">
        <v>898</v>
      </c>
      <c r="E101" s="94" t="s">
        <v>970</v>
      </c>
      <c r="F101" s="98">
        <v>6</v>
      </c>
      <c r="G101" s="90">
        <f t="shared" si="6"/>
        <v>4782.96</v>
      </c>
      <c r="H101" s="89">
        <v>28697.759999999998</v>
      </c>
      <c r="I101" s="87">
        <f t="shared" si="7"/>
        <v>2</v>
      </c>
    </row>
    <row r="102" spans="1:9" x14ac:dyDescent="0.25">
      <c r="A102" s="86">
        <v>99</v>
      </c>
      <c r="B102" s="86" t="s">
        <v>652</v>
      </c>
      <c r="C102" s="97" t="s">
        <v>525</v>
      </c>
      <c r="D102" s="96" t="s">
        <v>899</v>
      </c>
      <c r="E102" s="94" t="s">
        <v>970</v>
      </c>
      <c r="F102" s="98">
        <v>6</v>
      </c>
      <c r="G102" s="90">
        <f t="shared" si="6"/>
        <v>5479.04</v>
      </c>
      <c r="H102" s="89">
        <v>32874.239999999998</v>
      </c>
      <c r="I102" s="87">
        <f t="shared" si="7"/>
        <v>2</v>
      </c>
    </row>
    <row r="103" spans="1:9" x14ac:dyDescent="0.25">
      <c r="A103" s="86">
        <v>100</v>
      </c>
      <c r="B103" s="86" t="s">
        <v>653</v>
      </c>
      <c r="C103" s="97" t="s">
        <v>526</v>
      </c>
      <c r="D103" s="96" t="s">
        <v>907</v>
      </c>
      <c r="E103" s="94" t="s">
        <v>970</v>
      </c>
      <c r="F103" s="98">
        <v>2</v>
      </c>
      <c r="G103" s="90">
        <f t="shared" si="6"/>
        <v>1463.28</v>
      </c>
      <c r="H103" s="89">
        <v>2926.56</v>
      </c>
      <c r="I103" s="87">
        <f t="shared" si="7"/>
        <v>1</v>
      </c>
    </row>
    <row r="104" spans="1:9" x14ac:dyDescent="0.25">
      <c r="A104" s="86">
        <v>101</v>
      </c>
      <c r="B104" s="86" t="s">
        <v>654</v>
      </c>
      <c r="C104" s="97" t="s">
        <v>527</v>
      </c>
      <c r="D104" s="96" t="s">
        <v>908</v>
      </c>
      <c r="E104" s="94" t="s">
        <v>970</v>
      </c>
      <c r="F104" s="98">
        <v>2</v>
      </c>
      <c r="G104" s="90">
        <f t="shared" si="6"/>
        <v>19787.04</v>
      </c>
      <c r="H104" s="89">
        <v>39574.080000000002</v>
      </c>
      <c r="I104" s="87">
        <f t="shared" si="7"/>
        <v>1</v>
      </c>
    </row>
    <row r="105" spans="1:9" x14ac:dyDescent="0.25">
      <c r="A105" s="86">
        <v>102</v>
      </c>
      <c r="B105" s="86" t="s">
        <v>655</v>
      </c>
      <c r="C105" s="97" t="s">
        <v>528</v>
      </c>
      <c r="D105" s="96" t="s">
        <v>909</v>
      </c>
      <c r="E105" s="94" t="s">
        <v>970</v>
      </c>
      <c r="F105" s="98">
        <v>1</v>
      </c>
      <c r="G105" s="90">
        <f t="shared" si="6"/>
        <v>1145.76</v>
      </c>
      <c r="H105" s="89">
        <v>1145.76</v>
      </c>
      <c r="I105" s="87">
        <f t="shared" si="7"/>
        <v>1</v>
      </c>
    </row>
    <row r="106" spans="1:9" x14ac:dyDescent="0.25">
      <c r="A106" s="86">
        <v>103</v>
      </c>
      <c r="B106" s="86" t="s">
        <v>656</v>
      </c>
      <c r="C106" s="97" t="s">
        <v>529</v>
      </c>
      <c r="D106" s="96" t="s">
        <v>911</v>
      </c>
      <c r="E106" s="94" t="s">
        <v>970</v>
      </c>
      <c r="F106" s="98">
        <v>1</v>
      </c>
      <c r="G106" s="90">
        <f t="shared" si="6"/>
        <v>13836.48</v>
      </c>
      <c r="H106" s="89">
        <v>13836.48</v>
      </c>
      <c r="I106" s="87">
        <f t="shared" si="7"/>
        <v>2</v>
      </c>
    </row>
    <row r="107" spans="1:9" x14ac:dyDescent="0.25">
      <c r="A107" s="86">
        <v>104</v>
      </c>
      <c r="B107" s="86" t="s">
        <v>657</v>
      </c>
      <c r="C107" s="97" t="s">
        <v>530</v>
      </c>
      <c r="D107" s="96" t="s">
        <v>912</v>
      </c>
      <c r="E107" s="94" t="s">
        <v>970</v>
      </c>
      <c r="F107" s="98">
        <v>1</v>
      </c>
      <c r="G107" s="90">
        <f t="shared" si="6"/>
        <v>1236.48</v>
      </c>
      <c r="H107" s="89">
        <v>1236.48</v>
      </c>
      <c r="I107" s="87">
        <f t="shared" si="7"/>
        <v>2</v>
      </c>
    </row>
    <row r="108" spans="1:9" x14ac:dyDescent="0.25">
      <c r="A108" s="86">
        <v>105</v>
      </c>
      <c r="B108" s="86" t="s">
        <v>658</v>
      </c>
      <c r="C108" s="97" t="s">
        <v>531</v>
      </c>
      <c r="D108" s="96" t="s">
        <v>913</v>
      </c>
      <c r="E108" s="94" t="s">
        <v>970</v>
      </c>
      <c r="F108" s="98">
        <v>1</v>
      </c>
      <c r="G108" s="90">
        <f t="shared" si="6"/>
        <v>2620.8000000000002</v>
      </c>
      <c r="H108" s="89">
        <v>2620.8000000000002</v>
      </c>
      <c r="I108" s="87">
        <f t="shared" si="7"/>
        <v>4</v>
      </c>
    </row>
    <row r="109" spans="1:9" x14ac:dyDescent="0.25">
      <c r="A109" s="86">
        <v>106</v>
      </c>
      <c r="B109" s="86" t="s">
        <v>659</v>
      </c>
      <c r="C109" s="97" t="s">
        <v>532</v>
      </c>
      <c r="D109" s="96" t="s">
        <v>914</v>
      </c>
      <c r="E109" s="94" t="s">
        <v>970</v>
      </c>
      <c r="F109" s="98">
        <v>2</v>
      </c>
      <c r="G109" s="90">
        <f t="shared" si="6"/>
        <v>9024.9599999999991</v>
      </c>
      <c r="H109" s="89">
        <v>18049.919999999998</v>
      </c>
      <c r="I109" s="87">
        <f t="shared" si="7"/>
        <v>2</v>
      </c>
    </row>
    <row r="110" spans="1:9" x14ac:dyDescent="0.25">
      <c r="A110" s="86">
        <v>107</v>
      </c>
      <c r="B110" s="86" t="s">
        <v>660</v>
      </c>
      <c r="C110" s="97" t="s">
        <v>533</v>
      </c>
      <c r="D110" s="96" t="s">
        <v>915</v>
      </c>
      <c r="E110" s="94" t="s">
        <v>970</v>
      </c>
      <c r="F110" s="98">
        <v>1</v>
      </c>
      <c r="G110" s="90">
        <f t="shared" si="6"/>
        <v>7328.16</v>
      </c>
      <c r="H110" s="89">
        <v>7328.16</v>
      </c>
      <c r="I110" s="87">
        <f t="shared" si="7"/>
        <v>2</v>
      </c>
    </row>
    <row r="111" spans="1:9" x14ac:dyDescent="0.25">
      <c r="A111" s="86">
        <v>108</v>
      </c>
      <c r="B111" s="86" t="s">
        <v>661</v>
      </c>
      <c r="C111" s="97" t="s">
        <v>534</v>
      </c>
      <c r="D111" s="96" t="s">
        <v>916</v>
      </c>
      <c r="E111" s="94" t="s">
        <v>970</v>
      </c>
      <c r="F111" s="98">
        <v>45</v>
      </c>
      <c r="G111" s="90">
        <f t="shared" si="6"/>
        <v>6520.565333333333</v>
      </c>
      <c r="H111" s="89">
        <v>293425.44</v>
      </c>
      <c r="I111" s="87">
        <f t="shared" si="7"/>
        <v>2</v>
      </c>
    </row>
    <row r="112" spans="1:9" x14ac:dyDescent="0.25">
      <c r="A112" s="86">
        <v>109</v>
      </c>
      <c r="B112" s="86" t="s">
        <v>662</v>
      </c>
      <c r="C112" s="97" t="s">
        <v>535</v>
      </c>
      <c r="D112" s="96" t="s">
        <v>911</v>
      </c>
      <c r="E112" s="94" t="s">
        <v>970</v>
      </c>
      <c r="F112" s="98">
        <v>1</v>
      </c>
      <c r="G112" s="90">
        <f t="shared" si="6"/>
        <v>13836.48</v>
      </c>
      <c r="H112" s="89">
        <v>13836.48</v>
      </c>
      <c r="I112" s="87">
        <f t="shared" si="7"/>
        <v>2</v>
      </c>
    </row>
    <row r="113" spans="1:9" x14ac:dyDescent="0.25">
      <c r="A113" s="86">
        <v>110</v>
      </c>
      <c r="B113" s="86" t="s">
        <v>663</v>
      </c>
      <c r="C113" s="97" t="s">
        <v>536</v>
      </c>
      <c r="D113" s="96" t="s">
        <v>912</v>
      </c>
      <c r="E113" s="94" t="s">
        <v>970</v>
      </c>
      <c r="F113" s="98">
        <v>1</v>
      </c>
      <c r="G113" s="90">
        <f t="shared" si="6"/>
        <v>1236.48</v>
      </c>
      <c r="H113" s="89">
        <v>1236.48</v>
      </c>
      <c r="I113" s="87">
        <f t="shared" si="7"/>
        <v>2</v>
      </c>
    </row>
    <row r="114" spans="1:9" x14ac:dyDescent="0.25">
      <c r="A114" s="86">
        <v>111</v>
      </c>
      <c r="B114" s="86" t="s">
        <v>664</v>
      </c>
      <c r="C114" s="97" t="s">
        <v>537</v>
      </c>
      <c r="D114" s="96" t="s">
        <v>913</v>
      </c>
      <c r="E114" s="94" t="s">
        <v>970</v>
      </c>
      <c r="F114" s="98">
        <v>1</v>
      </c>
      <c r="G114" s="90">
        <f t="shared" si="6"/>
        <v>2620.8000000000002</v>
      </c>
      <c r="H114" s="89">
        <v>2620.8000000000002</v>
      </c>
      <c r="I114" s="87">
        <f t="shared" si="7"/>
        <v>4</v>
      </c>
    </row>
    <row r="115" spans="1:9" x14ac:dyDescent="0.25">
      <c r="A115" s="86">
        <v>112</v>
      </c>
      <c r="B115" s="86" t="s">
        <v>665</v>
      </c>
      <c r="C115" s="97" t="s">
        <v>538</v>
      </c>
      <c r="D115" s="96" t="s">
        <v>917</v>
      </c>
      <c r="E115" s="94" t="s">
        <v>970</v>
      </c>
      <c r="F115" s="98">
        <v>1</v>
      </c>
      <c r="G115" s="90">
        <f t="shared" si="6"/>
        <v>557.76</v>
      </c>
      <c r="H115" s="89">
        <v>557.76</v>
      </c>
      <c r="I115" s="87">
        <f t="shared" si="7"/>
        <v>1</v>
      </c>
    </row>
    <row r="116" spans="1:9" x14ac:dyDescent="0.25">
      <c r="A116" s="86">
        <v>113</v>
      </c>
      <c r="B116" s="86" t="s">
        <v>666</v>
      </c>
      <c r="C116" s="97" t="s">
        <v>539</v>
      </c>
      <c r="D116" s="96" t="s">
        <v>914</v>
      </c>
      <c r="E116" s="94" t="s">
        <v>970</v>
      </c>
      <c r="F116" s="98">
        <v>2</v>
      </c>
      <c r="G116" s="90">
        <f t="shared" si="6"/>
        <v>9024.9599999999991</v>
      </c>
      <c r="H116" s="89">
        <v>18049.919999999998</v>
      </c>
      <c r="I116" s="87">
        <f t="shared" si="7"/>
        <v>2</v>
      </c>
    </row>
    <row r="117" spans="1:9" x14ac:dyDescent="0.25">
      <c r="A117" s="86">
        <v>114</v>
      </c>
      <c r="B117" s="86" t="s">
        <v>667</v>
      </c>
      <c r="C117" s="97" t="s">
        <v>540</v>
      </c>
      <c r="D117" s="96" t="s">
        <v>915</v>
      </c>
      <c r="E117" s="94" t="s">
        <v>970</v>
      </c>
      <c r="F117" s="98">
        <v>1</v>
      </c>
      <c r="G117" s="90">
        <f t="shared" si="6"/>
        <v>7328.16</v>
      </c>
      <c r="H117" s="89">
        <v>7328.16</v>
      </c>
      <c r="I117" s="87">
        <f t="shared" si="7"/>
        <v>2</v>
      </c>
    </row>
    <row r="118" spans="1:9" x14ac:dyDescent="0.25">
      <c r="A118" s="86">
        <v>115</v>
      </c>
      <c r="B118" s="86" t="s">
        <v>668</v>
      </c>
      <c r="C118" s="97" t="s">
        <v>541</v>
      </c>
      <c r="D118" s="96" t="s">
        <v>916</v>
      </c>
      <c r="E118" s="94" t="s">
        <v>970</v>
      </c>
      <c r="F118" s="98">
        <v>3</v>
      </c>
      <c r="G118" s="90">
        <f t="shared" si="6"/>
        <v>11888.800000000001</v>
      </c>
      <c r="H118" s="89">
        <v>35666.400000000001</v>
      </c>
      <c r="I118" s="87">
        <f t="shared" si="7"/>
        <v>2</v>
      </c>
    </row>
    <row r="119" spans="1:9" x14ac:dyDescent="0.25">
      <c r="A119" s="86">
        <v>116</v>
      </c>
      <c r="B119" s="86" t="s">
        <v>669</v>
      </c>
      <c r="C119" s="97" t="s">
        <v>542</v>
      </c>
      <c r="D119" s="96" t="s">
        <v>913</v>
      </c>
      <c r="E119" s="94" t="s">
        <v>970</v>
      </c>
      <c r="F119" s="98">
        <v>2</v>
      </c>
      <c r="G119" s="90">
        <f t="shared" si="6"/>
        <v>2620.8000000000002</v>
      </c>
      <c r="H119" s="89">
        <v>5241.6000000000004</v>
      </c>
      <c r="I119" s="87">
        <f t="shared" si="7"/>
        <v>4</v>
      </c>
    </row>
    <row r="120" spans="1:9" x14ac:dyDescent="0.25">
      <c r="A120" s="86">
        <v>117</v>
      </c>
      <c r="B120" s="86" t="s">
        <v>670</v>
      </c>
      <c r="C120" s="97" t="s">
        <v>543</v>
      </c>
      <c r="D120" s="96" t="s">
        <v>919</v>
      </c>
      <c r="E120" s="94" t="s">
        <v>970</v>
      </c>
      <c r="F120" s="98">
        <v>1</v>
      </c>
      <c r="G120" s="90">
        <f t="shared" si="6"/>
        <v>120956.64</v>
      </c>
      <c r="H120" s="89">
        <v>120956.64</v>
      </c>
      <c r="I120" s="87">
        <f t="shared" si="7"/>
        <v>2</v>
      </c>
    </row>
    <row r="121" spans="1:9" x14ac:dyDescent="0.25">
      <c r="A121" s="86">
        <v>118</v>
      </c>
      <c r="B121" s="86" t="s">
        <v>671</v>
      </c>
      <c r="C121" s="97" t="s">
        <v>544</v>
      </c>
      <c r="D121" s="96" t="s">
        <v>920</v>
      </c>
      <c r="E121" s="94" t="s">
        <v>970</v>
      </c>
      <c r="F121" s="98">
        <v>2</v>
      </c>
      <c r="G121" s="90">
        <f t="shared" si="6"/>
        <v>38614.800000000003</v>
      </c>
      <c r="H121" s="89">
        <v>77229.600000000006</v>
      </c>
      <c r="I121" s="87">
        <f t="shared" si="7"/>
        <v>2</v>
      </c>
    </row>
    <row r="122" spans="1:9" x14ac:dyDescent="0.25">
      <c r="A122" s="86">
        <v>119</v>
      </c>
      <c r="B122" s="86" t="s">
        <v>672</v>
      </c>
      <c r="C122" s="97" t="s">
        <v>545</v>
      </c>
      <c r="D122" s="96" t="s">
        <v>913</v>
      </c>
      <c r="E122" s="94" t="s">
        <v>970</v>
      </c>
      <c r="F122" s="98">
        <v>2</v>
      </c>
      <c r="G122" s="90">
        <f t="shared" si="6"/>
        <v>2620.8000000000002</v>
      </c>
      <c r="H122" s="89">
        <v>5241.6000000000004</v>
      </c>
      <c r="I122" s="87">
        <f t="shared" si="7"/>
        <v>4</v>
      </c>
    </row>
    <row r="123" spans="1:9" x14ac:dyDescent="0.25">
      <c r="A123" s="86">
        <v>120</v>
      </c>
      <c r="B123" s="86" t="s">
        <v>673</v>
      </c>
      <c r="C123" s="97" t="s">
        <v>546</v>
      </c>
      <c r="D123" s="96" t="s">
        <v>919</v>
      </c>
      <c r="E123" s="94" t="s">
        <v>970</v>
      </c>
      <c r="F123" s="98">
        <v>2</v>
      </c>
      <c r="G123" s="90">
        <f t="shared" si="6"/>
        <v>120956.64</v>
      </c>
      <c r="H123" s="89">
        <v>241913.28</v>
      </c>
      <c r="I123" s="87">
        <f t="shared" si="7"/>
        <v>2</v>
      </c>
    </row>
    <row r="124" spans="1:9" x14ac:dyDescent="0.25">
      <c r="A124" s="86">
        <v>121</v>
      </c>
      <c r="B124" s="86" t="s">
        <v>674</v>
      </c>
      <c r="C124" s="97" t="s">
        <v>547</v>
      </c>
      <c r="D124" s="96" t="s">
        <v>920</v>
      </c>
      <c r="E124" s="94" t="s">
        <v>970</v>
      </c>
      <c r="F124" s="98">
        <v>4</v>
      </c>
      <c r="G124" s="90">
        <f t="shared" si="6"/>
        <v>38347.68</v>
      </c>
      <c r="H124" s="89">
        <v>153390.72</v>
      </c>
      <c r="I124" s="87">
        <f t="shared" si="7"/>
        <v>2</v>
      </c>
    </row>
    <row r="125" spans="1:9" x14ac:dyDescent="0.25">
      <c r="A125" s="86">
        <v>122</v>
      </c>
      <c r="B125" s="86" t="s">
        <v>675</v>
      </c>
      <c r="C125" s="97" t="s">
        <v>548</v>
      </c>
      <c r="D125" s="96" t="s">
        <v>808</v>
      </c>
      <c r="E125" s="94" t="s">
        <v>970</v>
      </c>
      <c r="F125" s="98">
        <v>2</v>
      </c>
      <c r="G125" s="90">
        <f t="shared" si="6"/>
        <v>3018.7508164800001</v>
      </c>
      <c r="H125" s="89">
        <v>6037.5016329600003</v>
      </c>
      <c r="I125" s="87">
        <f t="shared" si="7"/>
        <v>1</v>
      </c>
    </row>
    <row r="126" spans="1:9" ht="25" x14ac:dyDescent="0.25">
      <c r="A126" s="86">
        <v>123</v>
      </c>
      <c r="B126" s="86" t="s">
        <v>676</v>
      </c>
      <c r="C126" s="97" t="s">
        <v>549</v>
      </c>
      <c r="D126" s="96" t="s">
        <v>858</v>
      </c>
      <c r="E126" s="94" t="s">
        <v>970</v>
      </c>
      <c r="F126" s="98">
        <v>2</v>
      </c>
      <c r="G126" s="90">
        <f t="shared" si="6"/>
        <v>1282.1377396800001</v>
      </c>
      <c r="H126" s="89">
        <v>2564.2754793600002</v>
      </c>
      <c r="I126" s="87">
        <f t="shared" si="7"/>
        <v>2</v>
      </c>
    </row>
    <row r="127" spans="1:9" x14ac:dyDescent="0.25">
      <c r="A127" s="86">
        <v>124</v>
      </c>
      <c r="B127" s="86" t="s">
        <v>677</v>
      </c>
      <c r="C127" s="97" t="s">
        <v>550</v>
      </c>
      <c r="D127" s="96" t="s">
        <v>809</v>
      </c>
      <c r="E127" s="94" t="s">
        <v>970</v>
      </c>
      <c r="F127" s="98">
        <v>2</v>
      </c>
      <c r="G127" s="90">
        <f t="shared" si="6"/>
        <v>7227.4337973600004</v>
      </c>
      <c r="H127" s="89">
        <v>14454.867594720001</v>
      </c>
      <c r="I127" s="87">
        <f t="shared" si="7"/>
        <v>1</v>
      </c>
    </row>
    <row r="128" spans="1:9" x14ac:dyDescent="0.25">
      <c r="A128" s="86">
        <v>125</v>
      </c>
      <c r="B128" s="86" t="s">
        <v>678</v>
      </c>
      <c r="C128" s="97" t="s">
        <v>551</v>
      </c>
      <c r="D128" s="96" t="s">
        <v>817</v>
      </c>
      <c r="E128" s="94" t="s">
        <v>970</v>
      </c>
      <c r="F128" s="98">
        <v>1</v>
      </c>
      <c r="G128" s="90">
        <f t="shared" si="6"/>
        <v>11675.994220799999</v>
      </c>
      <c r="H128" s="89">
        <v>11675.994220799999</v>
      </c>
      <c r="I128" s="87">
        <f t="shared" si="7"/>
        <v>1</v>
      </c>
    </row>
    <row r="129" spans="1:9" x14ac:dyDescent="0.25">
      <c r="A129" s="86">
        <v>126</v>
      </c>
      <c r="B129" s="86" t="s">
        <v>679</v>
      </c>
      <c r="C129" s="97" t="s">
        <v>552</v>
      </c>
      <c r="D129" s="96" t="s">
        <v>818</v>
      </c>
      <c r="E129" s="94" t="s">
        <v>970</v>
      </c>
      <c r="F129" s="98">
        <v>1</v>
      </c>
      <c r="G129" s="90">
        <f t="shared" si="6"/>
        <v>13545.631270079999</v>
      </c>
      <c r="H129" s="89">
        <v>13545.631270079999</v>
      </c>
      <c r="I129" s="87">
        <f t="shared" si="7"/>
        <v>1</v>
      </c>
    </row>
    <row r="130" spans="1:9" x14ac:dyDescent="0.25">
      <c r="A130" s="86">
        <v>127</v>
      </c>
      <c r="B130" s="86" t="s">
        <v>680</v>
      </c>
      <c r="C130" s="97" t="s">
        <v>553</v>
      </c>
      <c r="D130" s="91" t="s">
        <v>819</v>
      </c>
      <c r="E130" s="94" t="s">
        <v>970</v>
      </c>
      <c r="F130" s="98">
        <v>1</v>
      </c>
      <c r="G130" s="90">
        <f t="shared" si="6"/>
        <v>8583.3337262399982</v>
      </c>
      <c r="H130" s="89">
        <v>8583.3337262399982</v>
      </c>
      <c r="I130" s="87">
        <f t="shared" si="7"/>
        <v>1</v>
      </c>
    </row>
    <row r="131" spans="1:9" ht="13" x14ac:dyDescent="0.3">
      <c r="D131" s="100" t="s">
        <v>848</v>
      </c>
      <c r="E131" s="99"/>
      <c r="F131" s="99"/>
      <c r="G131" s="99"/>
      <c r="H131" s="101">
        <f>SUM(H4:H130)</f>
        <v>60544182.435764141</v>
      </c>
      <c r="I131" s="87"/>
    </row>
  </sheetData>
  <autoFilter ref="A3:I131" xr:uid="{00000000-0009-0000-0000-000004000000}"/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5">
    <pageSetUpPr fitToPage="1"/>
  </sheetPr>
  <dimension ref="B1:K133"/>
  <sheetViews>
    <sheetView workbookViewId="0"/>
  </sheetViews>
  <sheetFormatPr defaultRowHeight="12.5" outlineLevelRow="1" outlineLevelCol="1" x14ac:dyDescent="0.25"/>
  <cols>
    <col min="1" max="1" width="2.54296875" customWidth="1"/>
    <col min="2" max="2" width="79.7265625" hidden="1" customWidth="1" outlineLevel="1"/>
    <col min="3" max="3" width="8.7265625" hidden="1" customWidth="1" outlineLevel="1"/>
    <col min="4" max="4" width="9.7265625" hidden="1" customWidth="1" outlineLevel="1"/>
    <col min="5" max="5" width="11.26953125" hidden="1" customWidth="1" outlineLevel="1"/>
    <col min="6" max="6" width="2.26953125" customWidth="1" collapsed="1"/>
    <col min="7" max="7" width="81.7265625" customWidth="1" outlineLevel="1"/>
    <col min="8" max="8" width="8.54296875" customWidth="1" outlineLevel="1"/>
    <col min="9" max="9" width="8.7265625" customWidth="1" outlineLevel="1"/>
    <col min="10" max="11" width="12.81640625" customWidth="1" outlineLevel="1"/>
    <col min="12" max="12" width="2.81640625" customWidth="1"/>
    <col min="13" max="102" width="12.453125" bestFit="1" customWidth="1"/>
    <col min="103" max="103" width="12.26953125" bestFit="1" customWidth="1"/>
  </cols>
  <sheetData>
    <row r="1" spans="2:11" ht="15" x14ac:dyDescent="0.25">
      <c r="B1" s="36" t="s">
        <v>847</v>
      </c>
      <c r="C1" s="102"/>
      <c r="D1" s="102"/>
      <c r="E1" s="102"/>
      <c r="G1" s="36" t="s">
        <v>847</v>
      </c>
      <c r="H1" s="102"/>
      <c r="I1" s="102"/>
      <c r="J1" s="102"/>
    </row>
    <row r="2" spans="2:11" x14ac:dyDescent="0.25">
      <c r="C2" s="102"/>
      <c r="D2" s="102"/>
      <c r="E2" s="82"/>
      <c r="F2" s="102"/>
      <c r="H2" s="102"/>
      <c r="I2" s="102"/>
      <c r="J2" s="82"/>
    </row>
    <row r="3" spans="2:11" ht="13.5" hidden="1" outlineLevel="1" thickBot="1" x14ac:dyDescent="0.3">
      <c r="B3" s="104" t="s">
        <v>685</v>
      </c>
      <c r="C3" s="103" t="s">
        <v>729</v>
      </c>
      <c r="G3" s="104" t="s">
        <v>685</v>
      </c>
      <c r="H3" s="103" t="s">
        <v>729</v>
      </c>
    </row>
    <row r="4" spans="2:11" hidden="1" outlineLevel="1" x14ac:dyDescent="0.25"/>
    <row r="5" spans="2:11" hidden="1" outlineLevel="1" x14ac:dyDescent="0.25">
      <c r="B5" s="80"/>
      <c r="C5" s="78"/>
      <c r="D5" s="77" t="s">
        <v>689</v>
      </c>
      <c r="E5" s="81"/>
      <c r="G5" s="80"/>
      <c r="H5" s="78"/>
      <c r="I5" s="78"/>
      <c r="J5" s="77" t="s">
        <v>689</v>
      </c>
      <c r="K5" s="81"/>
    </row>
    <row r="6" spans="2:11" ht="39.5" collapsed="1" thickBot="1" x14ac:dyDescent="0.3">
      <c r="B6" s="112" t="s">
        <v>682</v>
      </c>
      <c r="C6" s="109" t="s">
        <v>683</v>
      </c>
      <c r="D6" s="110" t="s">
        <v>690</v>
      </c>
      <c r="E6" s="111" t="s">
        <v>730</v>
      </c>
      <c r="G6" s="112" t="s">
        <v>682</v>
      </c>
      <c r="H6" s="336" t="s">
        <v>687</v>
      </c>
      <c r="I6" s="109" t="s">
        <v>683</v>
      </c>
      <c r="J6" s="333" t="s">
        <v>978</v>
      </c>
      <c r="K6" s="332" t="s">
        <v>979</v>
      </c>
    </row>
    <row r="7" spans="2:11" x14ac:dyDescent="0.25">
      <c r="B7" s="79" t="s">
        <v>897</v>
      </c>
      <c r="C7" s="80" t="s">
        <v>970</v>
      </c>
      <c r="D7" s="107">
        <v>2</v>
      </c>
      <c r="E7" s="106">
        <v>15240.96</v>
      </c>
      <c r="G7" s="79" t="s">
        <v>883</v>
      </c>
      <c r="H7" s="80" t="s">
        <v>633</v>
      </c>
      <c r="I7" s="80" t="s">
        <v>970</v>
      </c>
      <c r="J7" s="334">
        <v>6442544.6399999997</v>
      </c>
      <c r="K7" s="330">
        <v>6442544.6399999997</v>
      </c>
    </row>
    <row r="8" spans="2:11" x14ac:dyDescent="0.25">
      <c r="B8" s="79" t="s">
        <v>914</v>
      </c>
      <c r="C8" s="80" t="s">
        <v>970</v>
      </c>
      <c r="D8" s="107">
        <v>4</v>
      </c>
      <c r="E8" s="106">
        <v>36099.839999999997</v>
      </c>
      <c r="G8" s="375"/>
      <c r="H8" s="80" t="s">
        <v>617</v>
      </c>
      <c r="I8" s="80" t="s">
        <v>970</v>
      </c>
      <c r="J8" s="334">
        <v>6442543.9680000003</v>
      </c>
      <c r="K8" s="330">
        <v>6442543.9680000003</v>
      </c>
    </row>
    <row r="9" spans="2:11" ht="20" x14ac:dyDescent="0.25">
      <c r="B9" s="79" t="s">
        <v>140</v>
      </c>
      <c r="C9" s="80" t="s">
        <v>970</v>
      </c>
      <c r="D9" s="107">
        <v>3</v>
      </c>
      <c r="E9" s="106">
        <v>9959.1256158795604</v>
      </c>
      <c r="G9" s="79" t="s">
        <v>130</v>
      </c>
      <c r="H9" s="78"/>
      <c r="I9" s="78"/>
      <c r="J9" s="334">
        <v>3043593.4845889988</v>
      </c>
      <c r="K9" s="330">
        <v>3043593.4845889988</v>
      </c>
    </row>
    <row r="10" spans="2:11" x14ac:dyDescent="0.25">
      <c r="B10" s="79" t="s">
        <v>139</v>
      </c>
      <c r="C10" s="80" t="s">
        <v>970</v>
      </c>
      <c r="D10" s="107">
        <v>1</v>
      </c>
      <c r="E10" s="106">
        <v>3661.6579885363635</v>
      </c>
      <c r="G10" s="79" t="s">
        <v>1073</v>
      </c>
      <c r="H10" s="80" t="s">
        <v>556</v>
      </c>
      <c r="I10" s="80" t="s">
        <v>970</v>
      </c>
      <c r="J10" s="334">
        <v>1371888</v>
      </c>
      <c r="K10" s="330">
        <v>1371888</v>
      </c>
    </row>
    <row r="11" spans="2:11" ht="20" x14ac:dyDescent="0.25">
      <c r="B11" s="79" t="s">
        <v>138</v>
      </c>
      <c r="C11" s="80" t="s">
        <v>970</v>
      </c>
      <c r="D11" s="107">
        <v>1</v>
      </c>
      <c r="E11" s="106">
        <v>7969.4909162262011</v>
      </c>
      <c r="G11" s="79" t="s">
        <v>1085</v>
      </c>
      <c r="H11" s="80" t="s">
        <v>560</v>
      </c>
      <c r="I11" s="80" t="s">
        <v>970</v>
      </c>
      <c r="J11" s="334">
        <v>1257624.48</v>
      </c>
      <c r="K11" s="330">
        <v>1257624.48</v>
      </c>
    </row>
    <row r="12" spans="2:11" ht="20" x14ac:dyDescent="0.25">
      <c r="B12" s="79" t="s">
        <v>137</v>
      </c>
      <c r="C12" s="80" t="s">
        <v>970</v>
      </c>
      <c r="D12" s="107">
        <v>1</v>
      </c>
      <c r="E12" s="106">
        <v>7969.4909162262011</v>
      </c>
      <c r="G12" s="79" t="s">
        <v>1709</v>
      </c>
      <c r="H12" s="80" t="s">
        <v>555</v>
      </c>
      <c r="I12" s="80" t="s">
        <v>970</v>
      </c>
      <c r="J12" s="334">
        <v>1122547.44</v>
      </c>
      <c r="K12" s="330">
        <v>1122547.44</v>
      </c>
    </row>
    <row r="13" spans="2:11" ht="20" x14ac:dyDescent="0.25">
      <c r="B13" s="79" t="s">
        <v>136</v>
      </c>
      <c r="C13" s="80" t="s">
        <v>970</v>
      </c>
      <c r="D13" s="107">
        <v>1</v>
      </c>
      <c r="E13" s="106">
        <v>13284.918664290954</v>
      </c>
      <c r="G13" s="79" t="s">
        <v>68</v>
      </c>
      <c r="H13" s="80" t="s">
        <v>564</v>
      </c>
      <c r="I13" s="80" t="s">
        <v>970</v>
      </c>
      <c r="J13" s="334">
        <v>731508.98620799999</v>
      </c>
      <c r="K13" s="330">
        <v>731508.98620799999</v>
      </c>
    </row>
    <row r="14" spans="2:11" ht="20" x14ac:dyDescent="0.25">
      <c r="B14" s="79" t="s">
        <v>134</v>
      </c>
      <c r="C14" s="80" t="s">
        <v>970</v>
      </c>
      <c r="D14" s="107">
        <v>1</v>
      </c>
      <c r="E14" s="106">
        <v>2263.4376399726275</v>
      </c>
      <c r="G14" s="79" t="s">
        <v>1702</v>
      </c>
      <c r="H14" s="80" t="s">
        <v>554</v>
      </c>
      <c r="I14" s="80" t="s">
        <v>970</v>
      </c>
      <c r="J14" s="334">
        <v>729533.28</v>
      </c>
      <c r="K14" s="330">
        <v>729533.28</v>
      </c>
    </row>
    <row r="15" spans="2:11" x14ac:dyDescent="0.25">
      <c r="B15" s="79" t="s">
        <v>135</v>
      </c>
      <c r="C15" s="80" t="s">
        <v>970</v>
      </c>
      <c r="D15" s="107">
        <v>3</v>
      </c>
      <c r="E15" s="106">
        <v>14263.307837698474</v>
      </c>
      <c r="G15" s="79" t="s">
        <v>69</v>
      </c>
      <c r="H15" s="80" t="s">
        <v>565</v>
      </c>
      <c r="I15" s="80" t="s">
        <v>970</v>
      </c>
      <c r="J15" s="334">
        <v>578250.85219999996</v>
      </c>
      <c r="K15" s="330">
        <v>578250.85219999996</v>
      </c>
    </row>
    <row r="16" spans="2:11" x14ac:dyDescent="0.25">
      <c r="B16" s="79" t="s">
        <v>1073</v>
      </c>
      <c r="C16" s="80" t="s">
        <v>970</v>
      </c>
      <c r="D16" s="107">
        <v>1</v>
      </c>
      <c r="E16" s="106">
        <v>1371888</v>
      </c>
      <c r="G16" s="79" t="s">
        <v>894</v>
      </c>
      <c r="H16" s="80" t="s">
        <v>635</v>
      </c>
      <c r="I16" s="80" t="s">
        <v>970</v>
      </c>
      <c r="J16" s="334">
        <v>546860.16</v>
      </c>
      <c r="K16" s="330">
        <v>546860.16</v>
      </c>
    </row>
    <row r="17" spans="2:11" x14ac:dyDescent="0.25">
      <c r="B17" s="79" t="s">
        <v>911</v>
      </c>
      <c r="C17" s="80" t="s">
        <v>970</v>
      </c>
      <c r="D17" s="107">
        <v>2</v>
      </c>
      <c r="E17" s="106">
        <v>27672.959999999999</v>
      </c>
      <c r="G17" s="79" t="s">
        <v>877</v>
      </c>
      <c r="H17" s="78"/>
      <c r="I17" s="78"/>
      <c r="J17" s="334">
        <v>464536.8</v>
      </c>
      <c r="K17" s="330">
        <v>232239.84</v>
      </c>
    </row>
    <row r="18" spans="2:11" x14ac:dyDescent="0.25">
      <c r="B18" s="79" t="s">
        <v>992</v>
      </c>
      <c r="C18" s="80" t="s">
        <v>970</v>
      </c>
      <c r="D18" s="107">
        <v>3</v>
      </c>
      <c r="E18" s="106">
        <v>723.17615999999998</v>
      </c>
      <c r="G18" s="79" t="s">
        <v>902</v>
      </c>
      <c r="H18" s="80" t="s">
        <v>645</v>
      </c>
      <c r="I18" s="80" t="s">
        <v>970</v>
      </c>
      <c r="J18" s="334">
        <v>362251.68</v>
      </c>
      <c r="K18" s="330">
        <v>362251.68</v>
      </c>
    </row>
    <row r="19" spans="2:11" x14ac:dyDescent="0.25">
      <c r="B19" s="79" t="s">
        <v>999</v>
      </c>
      <c r="C19" s="80" t="s">
        <v>970</v>
      </c>
      <c r="D19" s="107">
        <v>2</v>
      </c>
      <c r="E19" s="106">
        <v>647.72735999999998</v>
      </c>
      <c r="G19" s="79" t="s">
        <v>903</v>
      </c>
      <c r="H19" s="80" t="s">
        <v>646</v>
      </c>
      <c r="I19" s="80" t="s">
        <v>970</v>
      </c>
      <c r="J19" s="334">
        <v>351385.44</v>
      </c>
      <c r="K19" s="330">
        <v>351385.44</v>
      </c>
    </row>
    <row r="20" spans="2:11" ht="20" x14ac:dyDescent="0.25">
      <c r="B20" s="79" t="s">
        <v>1000</v>
      </c>
      <c r="C20" s="80" t="s">
        <v>970</v>
      </c>
      <c r="D20" s="107">
        <v>2</v>
      </c>
      <c r="E20" s="106">
        <v>713.97647999999992</v>
      </c>
      <c r="G20" s="79" t="s">
        <v>67</v>
      </c>
      <c r="H20" s="80" t="s">
        <v>563</v>
      </c>
      <c r="I20" s="80" t="s">
        <v>970</v>
      </c>
      <c r="J20" s="334">
        <v>345795.82631999999</v>
      </c>
      <c r="K20" s="330">
        <v>345795.82631999999</v>
      </c>
    </row>
    <row r="21" spans="2:11" x14ac:dyDescent="0.25">
      <c r="B21" s="79" t="s">
        <v>993</v>
      </c>
      <c r="C21" s="80" t="s">
        <v>970</v>
      </c>
      <c r="D21" s="107">
        <v>3</v>
      </c>
      <c r="E21" s="106">
        <v>855.30143999999996</v>
      </c>
      <c r="G21" s="79" t="s">
        <v>900</v>
      </c>
      <c r="H21" s="80" t="s">
        <v>643</v>
      </c>
      <c r="I21" s="80" t="s">
        <v>970</v>
      </c>
      <c r="J21" s="334">
        <v>289803.36</v>
      </c>
      <c r="K21" s="330">
        <v>289803.36</v>
      </c>
    </row>
    <row r="22" spans="2:11" ht="20" x14ac:dyDescent="0.25">
      <c r="B22" s="79" t="s">
        <v>861</v>
      </c>
      <c r="C22" s="80" t="s">
        <v>970</v>
      </c>
      <c r="D22" s="107">
        <v>4</v>
      </c>
      <c r="E22" s="106">
        <v>181453.44</v>
      </c>
      <c r="G22" s="79" t="s">
        <v>1025</v>
      </c>
      <c r="H22" s="80" t="s">
        <v>576</v>
      </c>
      <c r="I22" s="80" t="s">
        <v>970</v>
      </c>
      <c r="J22" s="334">
        <v>173244.96</v>
      </c>
      <c r="K22" s="330">
        <v>173244.96</v>
      </c>
    </row>
    <row r="23" spans="2:11" ht="20" x14ac:dyDescent="0.25">
      <c r="B23" s="79" t="s">
        <v>869</v>
      </c>
      <c r="C23" s="80" t="s">
        <v>1036</v>
      </c>
      <c r="D23" s="107">
        <v>1</v>
      </c>
      <c r="E23" s="106">
        <v>75361.440000000002</v>
      </c>
      <c r="G23" s="79" t="s">
        <v>867</v>
      </c>
      <c r="H23" s="80" t="s">
        <v>603</v>
      </c>
      <c r="I23" s="80" t="s">
        <v>1036</v>
      </c>
      <c r="J23" s="334">
        <v>142679.04000000001</v>
      </c>
      <c r="K23" s="330">
        <v>142679.04000000001</v>
      </c>
    </row>
    <row r="24" spans="2:11" x14ac:dyDescent="0.25">
      <c r="B24" s="79" t="s">
        <v>867</v>
      </c>
      <c r="C24" s="80" t="s">
        <v>1036</v>
      </c>
      <c r="D24" s="107">
        <v>1</v>
      </c>
      <c r="E24" s="106">
        <v>142679.04000000001</v>
      </c>
      <c r="G24" s="79" t="s">
        <v>131</v>
      </c>
      <c r="H24" s="80" t="s">
        <v>578</v>
      </c>
      <c r="I24" s="80" t="s">
        <v>970</v>
      </c>
      <c r="J24" s="334">
        <v>142058.09220231429</v>
      </c>
      <c r="K24" s="330">
        <v>142058.09220231429</v>
      </c>
    </row>
    <row r="25" spans="2:11" ht="30" x14ac:dyDescent="0.25">
      <c r="B25" s="79" t="s">
        <v>870</v>
      </c>
      <c r="C25" s="80" t="s">
        <v>1036</v>
      </c>
      <c r="D25" s="107">
        <v>1</v>
      </c>
      <c r="E25" s="106">
        <v>83287.679999999993</v>
      </c>
      <c r="G25" s="79" t="s">
        <v>65</v>
      </c>
      <c r="H25" s="80" t="s">
        <v>561</v>
      </c>
      <c r="I25" s="80" t="s">
        <v>970</v>
      </c>
      <c r="J25" s="334">
        <v>136031.46547199998</v>
      </c>
      <c r="K25" s="330">
        <v>136031.46547199998</v>
      </c>
    </row>
    <row r="26" spans="2:11" ht="20" x14ac:dyDescent="0.25">
      <c r="B26" s="79" t="s">
        <v>868</v>
      </c>
      <c r="C26" s="80" t="s">
        <v>1036</v>
      </c>
      <c r="D26" s="107">
        <v>3</v>
      </c>
      <c r="E26" s="106">
        <v>323769.59999999998</v>
      </c>
      <c r="G26" s="79" t="s">
        <v>901</v>
      </c>
      <c r="H26" s="80" t="s">
        <v>644</v>
      </c>
      <c r="I26" s="80" t="s">
        <v>970</v>
      </c>
      <c r="J26" s="334">
        <v>128761.92</v>
      </c>
      <c r="K26" s="330">
        <v>128761.92</v>
      </c>
    </row>
    <row r="27" spans="2:11" x14ac:dyDescent="0.25">
      <c r="B27" s="79" t="s">
        <v>858</v>
      </c>
      <c r="C27" s="80" t="s">
        <v>970</v>
      </c>
      <c r="D27" s="107">
        <v>32</v>
      </c>
      <c r="E27" s="106">
        <v>41006.035479360005</v>
      </c>
      <c r="G27" s="79" t="s">
        <v>919</v>
      </c>
      <c r="H27" s="80" t="s">
        <v>673</v>
      </c>
      <c r="I27" s="80" t="s">
        <v>970</v>
      </c>
      <c r="J27" s="334">
        <v>120956.64</v>
      </c>
      <c r="K27" s="330">
        <v>120956.64</v>
      </c>
    </row>
    <row r="28" spans="2:11" ht="20" x14ac:dyDescent="0.25">
      <c r="B28" s="79" t="s">
        <v>871</v>
      </c>
      <c r="C28" s="80" t="s">
        <v>970</v>
      </c>
      <c r="D28" s="107">
        <v>3</v>
      </c>
      <c r="E28" s="106">
        <v>187750.08</v>
      </c>
      <c r="G28" s="375"/>
      <c r="H28" s="80" t="s">
        <v>670</v>
      </c>
      <c r="I28" s="80" t="s">
        <v>970</v>
      </c>
      <c r="J28" s="334">
        <v>120956.64</v>
      </c>
      <c r="K28" s="330">
        <v>120956.64</v>
      </c>
    </row>
    <row r="29" spans="2:11" ht="20" x14ac:dyDescent="0.25">
      <c r="B29" s="79" t="s">
        <v>1749</v>
      </c>
      <c r="C29" s="80" t="s">
        <v>970</v>
      </c>
      <c r="D29" s="107">
        <v>1</v>
      </c>
      <c r="E29" s="106">
        <v>71319.360000000001</v>
      </c>
      <c r="G29" s="79" t="s">
        <v>868</v>
      </c>
      <c r="H29" s="80" t="s">
        <v>604</v>
      </c>
      <c r="I29" s="80" t="s">
        <v>1036</v>
      </c>
      <c r="J29" s="334">
        <v>107923.2</v>
      </c>
      <c r="K29" s="330">
        <v>107923.2</v>
      </c>
    </row>
    <row r="30" spans="2:11" x14ac:dyDescent="0.25">
      <c r="B30" s="79" t="s">
        <v>916</v>
      </c>
      <c r="C30" s="80" t="s">
        <v>970</v>
      </c>
      <c r="D30" s="107">
        <v>48</v>
      </c>
      <c r="E30" s="106">
        <v>329091.84000000003</v>
      </c>
      <c r="G30" s="79" t="s">
        <v>866</v>
      </c>
      <c r="H30" s="80" t="s">
        <v>602</v>
      </c>
      <c r="I30" s="80" t="s">
        <v>970</v>
      </c>
      <c r="J30" s="334">
        <v>100739.52</v>
      </c>
      <c r="K30" s="330">
        <v>100739.52</v>
      </c>
    </row>
    <row r="31" spans="2:11" x14ac:dyDescent="0.25">
      <c r="B31" s="79" t="s">
        <v>919</v>
      </c>
      <c r="C31" s="80" t="s">
        <v>970</v>
      </c>
      <c r="D31" s="107">
        <v>3</v>
      </c>
      <c r="E31" s="106">
        <v>362869.92</v>
      </c>
      <c r="G31" s="79" t="s">
        <v>905</v>
      </c>
      <c r="H31" s="80" t="s">
        <v>648</v>
      </c>
      <c r="I31" s="80" t="s">
        <v>970</v>
      </c>
      <c r="J31" s="334">
        <v>91294.56</v>
      </c>
      <c r="K31" s="330">
        <v>91294.56</v>
      </c>
    </row>
    <row r="32" spans="2:11" x14ac:dyDescent="0.25">
      <c r="B32" s="79" t="s">
        <v>880</v>
      </c>
      <c r="C32" s="80" t="s">
        <v>970</v>
      </c>
      <c r="D32" s="107">
        <v>3</v>
      </c>
      <c r="E32" s="106">
        <v>129746.4</v>
      </c>
      <c r="G32" s="79" t="s">
        <v>870</v>
      </c>
      <c r="H32" s="80" t="s">
        <v>606</v>
      </c>
      <c r="I32" s="80" t="s">
        <v>1036</v>
      </c>
      <c r="J32" s="334">
        <v>83287.679999999993</v>
      </c>
      <c r="K32" s="330">
        <v>83287.679999999993</v>
      </c>
    </row>
    <row r="33" spans="2:11" x14ac:dyDescent="0.25">
      <c r="B33" s="79" t="s">
        <v>889</v>
      </c>
      <c r="C33" s="80" t="s">
        <v>970</v>
      </c>
      <c r="D33" s="107">
        <v>2</v>
      </c>
      <c r="E33" s="106">
        <v>14931.84</v>
      </c>
      <c r="G33" s="79" t="s">
        <v>882</v>
      </c>
      <c r="H33" s="80" t="s">
        <v>616</v>
      </c>
      <c r="I33" s="80" t="s">
        <v>970</v>
      </c>
      <c r="J33" s="334">
        <v>83070.960000000006</v>
      </c>
      <c r="K33" s="330">
        <v>83070.960000000006</v>
      </c>
    </row>
    <row r="34" spans="2:11" ht="30" x14ac:dyDescent="0.25">
      <c r="B34" s="79" t="s">
        <v>65</v>
      </c>
      <c r="C34" s="80" t="s">
        <v>970</v>
      </c>
      <c r="D34" s="107">
        <v>1</v>
      </c>
      <c r="E34" s="106">
        <v>136031.46547199998</v>
      </c>
      <c r="G34" s="375"/>
      <c r="H34" s="80" t="s">
        <v>632</v>
      </c>
      <c r="I34" s="80" t="s">
        <v>970</v>
      </c>
      <c r="J34" s="334">
        <v>83069.279999999999</v>
      </c>
      <c r="K34" s="330">
        <v>83069.279999999999</v>
      </c>
    </row>
    <row r="35" spans="2:11" x14ac:dyDescent="0.25">
      <c r="B35" s="79" t="s">
        <v>890</v>
      </c>
      <c r="C35" s="80" t="s">
        <v>970</v>
      </c>
      <c r="D35" s="107">
        <v>15</v>
      </c>
      <c r="E35" s="106">
        <v>12159.84</v>
      </c>
      <c r="G35" s="79" t="s">
        <v>881</v>
      </c>
      <c r="H35" s="80" t="s">
        <v>631</v>
      </c>
      <c r="I35" s="80" t="s">
        <v>970</v>
      </c>
      <c r="J35" s="334">
        <v>80045.279999999999</v>
      </c>
      <c r="K35" s="330">
        <v>80045.279999999999</v>
      </c>
    </row>
    <row r="36" spans="2:11" x14ac:dyDescent="0.25">
      <c r="B36" s="79" t="s">
        <v>905</v>
      </c>
      <c r="C36" s="80" t="s">
        <v>970</v>
      </c>
      <c r="D36" s="107">
        <v>1</v>
      </c>
      <c r="E36" s="106">
        <v>91294.56</v>
      </c>
      <c r="G36" s="375"/>
      <c r="H36" s="80" t="s">
        <v>615</v>
      </c>
      <c r="I36" s="80" t="s">
        <v>970</v>
      </c>
      <c r="J36" s="334">
        <v>80045.279999999999</v>
      </c>
      <c r="K36" s="330">
        <v>80045.279999999999</v>
      </c>
    </row>
    <row r="37" spans="2:11" ht="20" x14ac:dyDescent="0.25">
      <c r="B37" s="79" t="s">
        <v>901</v>
      </c>
      <c r="C37" s="80" t="s">
        <v>970</v>
      </c>
      <c r="D37" s="107">
        <v>1</v>
      </c>
      <c r="E37" s="106">
        <v>128761.92</v>
      </c>
      <c r="G37" s="79" t="s">
        <v>869</v>
      </c>
      <c r="H37" s="80" t="s">
        <v>605</v>
      </c>
      <c r="I37" s="80" t="s">
        <v>1036</v>
      </c>
      <c r="J37" s="334">
        <v>75361.440000000002</v>
      </c>
      <c r="K37" s="330">
        <v>75361.440000000002</v>
      </c>
    </row>
    <row r="38" spans="2:11" ht="20" x14ac:dyDescent="0.25">
      <c r="B38" s="79" t="s">
        <v>130</v>
      </c>
      <c r="C38" s="80" t="s">
        <v>132</v>
      </c>
      <c r="D38" s="107">
        <v>1</v>
      </c>
      <c r="E38" s="106">
        <v>3043593.4845889988</v>
      </c>
      <c r="G38" s="79" t="s">
        <v>1749</v>
      </c>
      <c r="H38" s="80" t="s">
        <v>567</v>
      </c>
      <c r="I38" s="80" t="s">
        <v>970</v>
      </c>
      <c r="J38" s="334">
        <v>71319.360000000001</v>
      </c>
      <c r="K38" s="330">
        <v>71319.360000000001</v>
      </c>
    </row>
    <row r="39" spans="2:11" ht="20" x14ac:dyDescent="0.25">
      <c r="B39" s="79" t="s">
        <v>819</v>
      </c>
      <c r="C39" s="80" t="s">
        <v>970</v>
      </c>
      <c r="D39" s="107">
        <v>1</v>
      </c>
      <c r="E39" s="106">
        <v>8583.3337262399982</v>
      </c>
      <c r="G39" s="79" t="s">
        <v>871</v>
      </c>
      <c r="H39" s="80" t="s">
        <v>607</v>
      </c>
      <c r="I39" s="80" t="s">
        <v>970</v>
      </c>
      <c r="J39" s="334">
        <v>62583.360000000001</v>
      </c>
      <c r="K39" s="330">
        <v>62583.360000000001</v>
      </c>
    </row>
    <row r="40" spans="2:11" x14ac:dyDescent="0.25">
      <c r="B40" s="79" t="s">
        <v>818</v>
      </c>
      <c r="C40" s="80" t="s">
        <v>970</v>
      </c>
      <c r="D40" s="107">
        <v>1</v>
      </c>
      <c r="E40" s="106">
        <v>13545.631270079999</v>
      </c>
      <c r="G40" s="79" t="s">
        <v>896</v>
      </c>
      <c r="H40" s="80" t="s">
        <v>649</v>
      </c>
      <c r="I40" s="80" t="s">
        <v>970</v>
      </c>
      <c r="J40" s="334">
        <v>61333.440000000002</v>
      </c>
      <c r="K40" s="330">
        <v>61333.440000000002</v>
      </c>
    </row>
    <row r="41" spans="2:11" x14ac:dyDescent="0.25">
      <c r="B41" s="79" t="s">
        <v>131</v>
      </c>
      <c r="C41" s="80" t="s">
        <v>970</v>
      </c>
      <c r="D41" s="107">
        <v>2</v>
      </c>
      <c r="E41" s="106">
        <v>284116.18440462858</v>
      </c>
      <c r="G41" s="375"/>
      <c r="H41" s="80" t="s">
        <v>639</v>
      </c>
      <c r="I41" s="80" t="s">
        <v>970</v>
      </c>
      <c r="J41" s="334">
        <v>61333.440000000002</v>
      </c>
      <c r="K41" s="330">
        <v>61333.440000000002</v>
      </c>
    </row>
    <row r="42" spans="2:11" ht="20" x14ac:dyDescent="0.25">
      <c r="B42" s="79" t="s">
        <v>67</v>
      </c>
      <c r="C42" s="80" t="s">
        <v>970</v>
      </c>
      <c r="D42" s="107">
        <v>1</v>
      </c>
      <c r="E42" s="106">
        <v>345795.82631999999</v>
      </c>
      <c r="G42" s="79" t="s">
        <v>1074</v>
      </c>
      <c r="H42" s="80" t="s">
        <v>557</v>
      </c>
      <c r="I42" s="80" t="s">
        <v>970</v>
      </c>
      <c r="J42" s="334">
        <v>54936</v>
      </c>
      <c r="K42" s="330">
        <v>54936</v>
      </c>
    </row>
    <row r="43" spans="2:11" ht="20" x14ac:dyDescent="0.25">
      <c r="B43" s="79" t="s">
        <v>68</v>
      </c>
      <c r="C43" s="80" t="s">
        <v>970</v>
      </c>
      <c r="D43" s="107">
        <v>1</v>
      </c>
      <c r="E43" s="106">
        <v>731508.98620799999</v>
      </c>
      <c r="G43" s="79" t="s">
        <v>70</v>
      </c>
      <c r="H43" s="80" t="s">
        <v>566</v>
      </c>
      <c r="I43" s="80" t="s">
        <v>970</v>
      </c>
      <c r="J43" s="334">
        <v>50475.438215999995</v>
      </c>
      <c r="K43" s="330">
        <v>50475.438215999995</v>
      </c>
    </row>
    <row r="44" spans="2:11" ht="20" x14ac:dyDescent="0.25">
      <c r="B44" s="79" t="s">
        <v>69</v>
      </c>
      <c r="C44" s="80" t="s">
        <v>970</v>
      </c>
      <c r="D44" s="107">
        <v>6</v>
      </c>
      <c r="E44" s="106">
        <v>3469505.1131999996</v>
      </c>
      <c r="G44" s="79" t="s">
        <v>861</v>
      </c>
      <c r="H44" s="80" t="s">
        <v>597</v>
      </c>
      <c r="I44" s="80" t="s">
        <v>970</v>
      </c>
      <c r="J44" s="334">
        <v>45363.360000000001</v>
      </c>
      <c r="K44" s="330">
        <v>45363.360000000001</v>
      </c>
    </row>
    <row r="45" spans="2:11" x14ac:dyDescent="0.25">
      <c r="B45" s="79" t="s">
        <v>859</v>
      </c>
      <c r="C45" s="80" t="s">
        <v>970</v>
      </c>
      <c r="D45" s="107">
        <v>5</v>
      </c>
      <c r="E45" s="106">
        <v>5345.76</v>
      </c>
      <c r="G45" s="79" t="s">
        <v>880</v>
      </c>
      <c r="H45" s="80" t="s">
        <v>630</v>
      </c>
      <c r="I45" s="80" t="s">
        <v>970</v>
      </c>
      <c r="J45" s="334">
        <v>43249.919999999998</v>
      </c>
      <c r="K45" s="330">
        <v>43249.919999999998</v>
      </c>
    </row>
    <row r="46" spans="2:11" x14ac:dyDescent="0.25">
      <c r="B46" s="79" t="s">
        <v>860</v>
      </c>
      <c r="C46" s="80" t="s">
        <v>970</v>
      </c>
      <c r="D46" s="107">
        <v>3</v>
      </c>
      <c r="E46" s="106">
        <v>35589.120000000003</v>
      </c>
      <c r="G46" s="375"/>
      <c r="H46" s="80" t="s">
        <v>614</v>
      </c>
      <c r="I46" s="80" t="s">
        <v>970</v>
      </c>
      <c r="J46" s="334">
        <v>43248.24</v>
      </c>
      <c r="K46" s="330">
        <v>43248.24</v>
      </c>
    </row>
    <row r="47" spans="2:11" x14ac:dyDescent="0.25">
      <c r="B47" s="79" t="s">
        <v>133</v>
      </c>
      <c r="C47" s="80" t="s">
        <v>971</v>
      </c>
      <c r="D47" s="107">
        <v>0.6</v>
      </c>
      <c r="E47" s="106">
        <v>2256.13622823078</v>
      </c>
      <c r="G47" s="79" t="s">
        <v>920</v>
      </c>
      <c r="H47" s="80" t="s">
        <v>671</v>
      </c>
      <c r="I47" s="80" t="s">
        <v>970</v>
      </c>
      <c r="J47" s="334">
        <v>38614.800000000003</v>
      </c>
      <c r="K47" s="330">
        <v>38614.800000000003</v>
      </c>
    </row>
    <row r="48" spans="2:11" x14ac:dyDescent="0.25">
      <c r="B48" s="79" t="s">
        <v>883</v>
      </c>
      <c r="C48" s="80" t="s">
        <v>970</v>
      </c>
      <c r="D48" s="107">
        <v>6</v>
      </c>
      <c r="E48" s="106">
        <v>38655264.479999997</v>
      </c>
      <c r="G48" s="375"/>
      <c r="H48" s="80" t="s">
        <v>674</v>
      </c>
      <c r="I48" s="80" t="s">
        <v>970</v>
      </c>
      <c r="J48" s="334">
        <v>38347.68</v>
      </c>
      <c r="K48" s="330">
        <v>38347.68</v>
      </c>
    </row>
    <row r="49" spans="2:11" x14ac:dyDescent="0.25">
      <c r="B49" s="79" t="s">
        <v>920</v>
      </c>
      <c r="C49" s="80" t="s">
        <v>970</v>
      </c>
      <c r="D49" s="107">
        <v>6</v>
      </c>
      <c r="E49" s="106">
        <v>230620.32</v>
      </c>
      <c r="G49" s="79" t="s">
        <v>904</v>
      </c>
      <c r="H49" s="80" t="s">
        <v>647</v>
      </c>
      <c r="I49" s="80" t="s">
        <v>970</v>
      </c>
      <c r="J49" s="334">
        <v>31170.720000000001</v>
      </c>
      <c r="K49" s="330">
        <v>31170.720000000001</v>
      </c>
    </row>
    <row r="50" spans="2:11" x14ac:dyDescent="0.25">
      <c r="B50" s="79" t="s">
        <v>884</v>
      </c>
      <c r="C50" s="80" t="s">
        <v>970</v>
      </c>
      <c r="D50" s="107">
        <v>4</v>
      </c>
      <c r="E50" s="106">
        <v>68214.720000000001</v>
      </c>
      <c r="G50" s="79" t="s">
        <v>876</v>
      </c>
      <c r="H50" s="80" t="s">
        <v>627</v>
      </c>
      <c r="I50" s="80" t="s">
        <v>970</v>
      </c>
      <c r="J50" s="334">
        <v>31069.919999999998</v>
      </c>
      <c r="K50" s="330">
        <v>31069.919999999998</v>
      </c>
    </row>
    <row r="51" spans="2:11" x14ac:dyDescent="0.25">
      <c r="B51" s="79" t="s">
        <v>885</v>
      </c>
      <c r="C51" s="80" t="s">
        <v>970</v>
      </c>
      <c r="D51" s="107">
        <v>1</v>
      </c>
      <c r="E51" s="106">
        <v>21621.599999999999</v>
      </c>
      <c r="G51" s="375"/>
      <c r="H51" s="80" t="s">
        <v>610</v>
      </c>
      <c r="I51" s="80" t="s">
        <v>970</v>
      </c>
      <c r="J51" s="334">
        <v>31069.919999999998</v>
      </c>
      <c r="K51" s="330">
        <v>31069.919999999998</v>
      </c>
    </row>
    <row r="52" spans="2:11" x14ac:dyDescent="0.25">
      <c r="B52" s="79" t="s">
        <v>886</v>
      </c>
      <c r="C52" s="80" t="s">
        <v>970</v>
      </c>
      <c r="D52" s="107">
        <v>1</v>
      </c>
      <c r="E52" s="106">
        <v>16151.52</v>
      </c>
      <c r="G52" s="79" t="s">
        <v>878</v>
      </c>
      <c r="H52" s="80" t="s">
        <v>629</v>
      </c>
      <c r="I52" s="80" t="s">
        <v>970</v>
      </c>
      <c r="J52" s="334">
        <v>24682.560000000001</v>
      </c>
      <c r="K52" s="330">
        <v>24682.560000000001</v>
      </c>
    </row>
    <row r="53" spans="2:11" x14ac:dyDescent="0.25">
      <c r="B53" s="79" t="s">
        <v>894</v>
      </c>
      <c r="C53" s="80" t="s">
        <v>970</v>
      </c>
      <c r="D53" s="107">
        <v>1</v>
      </c>
      <c r="E53" s="106">
        <v>546860.16</v>
      </c>
      <c r="G53" s="375"/>
      <c r="H53" s="80" t="s">
        <v>612</v>
      </c>
      <c r="I53" s="80" t="s">
        <v>970</v>
      </c>
      <c r="J53" s="334">
        <v>24682.560000000001</v>
      </c>
      <c r="K53" s="330">
        <v>24682.560000000001</v>
      </c>
    </row>
    <row r="54" spans="2:11" x14ac:dyDescent="0.25">
      <c r="B54" s="79" t="s">
        <v>915</v>
      </c>
      <c r="C54" s="80" t="s">
        <v>970</v>
      </c>
      <c r="D54" s="107">
        <v>2</v>
      </c>
      <c r="E54" s="106">
        <v>14656.32</v>
      </c>
      <c r="G54" s="79" t="s">
        <v>885</v>
      </c>
      <c r="H54" s="80" t="s">
        <v>619</v>
      </c>
      <c r="I54" s="80" t="s">
        <v>970</v>
      </c>
      <c r="J54" s="334">
        <v>21621.599999999999</v>
      </c>
      <c r="K54" s="330">
        <v>21621.599999999999</v>
      </c>
    </row>
    <row r="55" spans="2:11" x14ac:dyDescent="0.25">
      <c r="B55" s="79" t="s">
        <v>881</v>
      </c>
      <c r="C55" s="80" t="s">
        <v>970</v>
      </c>
      <c r="D55" s="107">
        <v>2</v>
      </c>
      <c r="E55" s="106">
        <v>160090.56</v>
      </c>
      <c r="G55" s="79" t="s">
        <v>879</v>
      </c>
      <c r="H55" s="80" t="s">
        <v>613</v>
      </c>
      <c r="I55" s="80" t="s">
        <v>970</v>
      </c>
      <c r="J55" s="334">
        <v>20116.32</v>
      </c>
      <c r="K55" s="330">
        <v>20116.32</v>
      </c>
    </row>
    <row r="56" spans="2:11" x14ac:dyDescent="0.25">
      <c r="B56" s="79" t="s">
        <v>887</v>
      </c>
      <c r="C56" s="80" t="s">
        <v>970</v>
      </c>
      <c r="D56" s="107">
        <v>1</v>
      </c>
      <c r="E56" s="106">
        <v>15456</v>
      </c>
      <c r="G56" s="79" t="s">
        <v>908</v>
      </c>
      <c r="H56" s="80" t="s">
        <v>654</v>
      </c>
      <c r="I56" s="80" t="s">
        <v>970</v>
      </c>
      <c r="J56" s="334">
        <v>19787.04</v>
      </c>
      <c r="K56" s="330">
        <v>19787.04</v>
      </c>
    </row>
    <row r="57" spans="2:11" x14ac:dyDescent="0.25">
      <c r="B57" s="79" t="s">
        <v>882</v>
      </c>
      <c r="C57" s="80" t="s">
        <v>970</v>
      </c>
      <c r="D57" s="107">
        <v>3</v>
      </c>
      <c r="E57" s="106">
        <v>249211.2</v>
      </c>
      <c r="G57" s="79" t="s">
        <v>884</v>
      </c>
      <c r="H57" s="80" t="s">
        <v>634</v>
      </c>
      <c r="I57" s="80" t="s">
        <v>970</v>
      </c>
      <c r="J57" s="334">
        <v>17053.68</v>
      </c>
      <c r="K57" s="330">
        <v>17053.68</v>
      </c>
    </row>
    <row r="58" spans="2:11" x14ac:dyDescent="0.25">
      <c r="B58" s="79" t="s">
        <v>888</v>
      </c>
      <c r="C58" s="80" t="s">
        <v>970</v>
      </c>
      <c r="D58" s="107">
        <v>6</v>
      </c>
      <c r="E58" s="106">
        <v>5100.4799999999996</v>
      </c>
      <c r="G58" s="375"/>
      <c r="H58" s="80" t="s">
        <v>618</v>
      </c>
      <c r="I58" s="80" t="s">
        <v>970</v>
      </c>
      <c r="J58" s="334">
        <v>17053.68</v>
      </c>
      <c r="K58" s="330">
        <v>17053.68</v>
      </c>
    </row>
    <row r="59" spans="2:11" x14ac:dyDescent="0.25">
      <c r="B59" s="79" t="s">
        <v>899</v>
      </c>
      <c r="C59" s="80" t="s">
        <v>970</v>
      </c>
      <c r="D59" s="107">
        <v>9</v>
      </c>
      <c r="E59" s="106">
        <v>49308</v>
      </c>
      <c r="G59" s="79" t="s">
        <v>886</v>
      </c>
      <c r="H59" s="80" t="s">
        <v>620</v>
      </c>
      <c r="I59" s="80" t="s">
        <v>970</v>
      </c>
      <c r="J59" s="334">
        <v>16151.52</v>
      </c>
      <c r="K59" s="330">
        <v>16151.52</v>
      </c>
    </row>
    <row r="60" spans="2:11" x14ac:dyDescent="0.25">
      <c r="B60" s="79" t="s">
        <v>872</v>
      </c>
      <c r="C60" s="80" t="s">
        <v>970</v>
      </c>
      <c r="D60" s="107">
        <v>26</v>
      </c>
      <c r="E60" s="106">
        <v>88912.320000000007</v>
      </c>
      <c r="G60" s="79" t="s">
        <v>887</v>
      </c>
      <c r="H60" s="80" t="s">
        <v>621</v>
      </c>
      <c r="I60" s="80" t="s">
        <v>970</v>
      </c>
      <c r="J60" s="334">
        <v>15456</v>
      </c>
      <c r="K60" s="330">
        <v>15456</v>
      </c>
    </row>
    <row r="61" spans="2:11" x14ac:dyDescent="0.25">
      <c r="B61" s="79" t="s">
        <v>1075</v>
      </c>
      <c r="C61" s="80" t="s">
        <v>970</v>
      </c>
      <c r="D61" s="107">
        <v>2</v>
      </c>
      <c r="E61" s="106">
        <v>1962.24</v>
      </c>
      <c r="G61" s="79" t="s">
        <v>911</v>
      </c>
      <c r="H61" s="80" t="s">
        <v>662</v>
      </c>
      <c r="I61" s="80" t="s">
        <v>970</v>
      </c>
      <c r="J61" s="334">
        <v>13836.48</v>
      </c>
      <c r="K61" s="330">
        <v>13836.48</v>
      </c>
    </row>
    <row r="62" spans="2:11" x14ac:dyDescent="0.25">
      <c r="B62" s="79" t="s">
        <v>1076</v>
      </c>
      <c r="C62" s="80" t="s">
        <v>970</v>
      </c>
      <c r="D62" s="107">
        <v>2</v>
      </c>
      <c r="E62" s="106">
        <v>860.16</v>
      </c>
      <c r="G62" s="375"/>
      <c r="H62" s="80" t="s">
        <v>656</v>
      </c>
      <c r="I62" s="80" t="s">
        <v>970</v>
      </c>
      <c r="J62" s="334">
        <v>13836.48</v>
      </c>
      <c r="K62" s="330">
        <v>13836.48</v>
      </c>
    </row>
    <row r="63" spans="2:11" x14ac:dyDescent="0.25">
      <c r="B63" s="79" t="s">
        <v>909</v>
      </c>
      <c r="C63" s="80" t="s">
        <v>970</v>
      </c>
      <c r="D63" s="107">
        <v>1</v>
      </c>
      <c r="E63" s="106">
        <v>1145.76</v>
      </c>
      <c r="G63" s="79" t="s">
        <v>818</v>
      </c>
      <c r="H63" s="80" t="s">
        <v>679</v>
      </c>
      <c r="I63" s="80" t="s">
        <v>970</v>
      </c>
      <c r="J63" s="334">
        <v>13545.631270079999</v>
      </c>
      <c r="K63" s="330">
        <v>13545.631270079999</v>
      </c>
    </row>
    <row r="64" spans="2:11" x14ac:dyDescent="0.25">
      <c r="B64" s="79" t="s">
        <v>1074</v>
      </c>
      <c r="C64" s="80" t="s">
        <v>970</v>
      </c>
      <c r="D64" s="107">
        <v>3</v>
      </c>
      <c r="E64" s="106">
        <v>164808</v>
      </c>
      <c r="G64" s="79" t="s">
        <v>136</v>
      </c>
      <c r="H64" s="80" t="s">
        <v>582</v>
      </c>
      <c r="I64" s="80" t="s">
        <v>970</v>
      </c>
      <c r="J64" s="334">
        <v>13284.918664290954</v>
      </c>
      <c r="K64" s="330">
        <v>13284.918664290954</v>
      </c>
    </row>
    <row r="65" spans="2:11" x14ac:dyDescent="0.25">
      <c r="B65" s="79" t="s">
        <v>904</v>
      </c>
      <c r="C65" s="80" t="s">
        <v>970</v>
      </c>
      <c r="D65" s="107">
        <v>1</v>
      </c>
      <c r="E65" s="106">
        <v>31170.720000000001</v>
      </c>
      <c r="G65" s="79" t="s">
        <v>916</v>
      </c>
      <c r="H65" s="80" t="s">
        <v>668</v>
      </c>
      <c r="I65" s="80" t="s">
        <v>970</v>
      </c>
      <c r="J65" s="334">
        <v>11888.8</v>
      </c>
      <c r="K65" s="330">
        <v>11888.8</v>
      </c>
    </row>
    <row r="66" spans="2:11" x14ac:dyDescent="0.25">
      <c r="B66" s="79" t="s">
        <v>143</v>
      </c>
      <c r="C66" s="80" t="s">
        <v>970</v>
      </c>
      <c r="D66" s="107">
        <v>3</v>
      </c>
      <c r="E66" s="106">
        <v>7279.5075066216432</v>
      </c>
      <c r="G66" s="375"/>
      <c r="H66" s="80" t="s">
        <v>661</v>
      </c>
      <c r="I66" s="80" t="s">
        <v>970</v>
      </c>
      <c r="J66" s="334">
        <v>6520.565333333333</v>
      </c>
      <c r="K66" s="330">
        <v>6520.565333333333</v>
      </c>
    </row>
    <row r="67" spans="2:11" x14ac:dyDescent="0.25">
      <c r="B67" s="79" t="s">
        <v>873</v>
      </c>
      <c r="C67" s="80" t="s">
        <v>970</v>
      </c>
      <c r="D67" s="107">
        <v>2</v>
      </c>
      <c r="E67" s="106">
        <v>5073.6000000000004</v>
      </c>
      <c r="G67" s="79" t="s">
        <v>860</v>
      </c>
      <c r="H67" s="80" t="s">
        <v>596</v>
      </c>
      <c r="I67" s="80" t="s">
        <v>970</v>
      </c>
      <c r="J67" s="334">
        <v>11863.04</v>
      </c>
      <c r="K67" s="330">
        <v>11863.04</v>
      </c>
    </row>
    <row r="68" spans="2:11" x14ac:dyDescent="0.25">
      <c r="B68" s="79" t="s">
        <v>863</v>
      </c>
      <c r="C68" s="80" t="s">
        <v>970</v>
      </c>
      <c r="D68" s="107">
        <v>1</v>
      </c>
      <c r="E68" s="106">
        <v>6488.16</v>
      </c>
      <c r="G68" s="79" t="s">
        <v>817</v>
      </c>
      <c r="H68" s="80" t="s">
        <v>678</v>
      </c>
      <c r="I68" s="80" t="s">
        <v>970</v>
      </c>
      <c r="J68" s="334">
        <v>11675.994220799999</v>
      </c>
      <c r="K68" s="330">
        <v>11675.994220799999</v>
      </c>
    </row>
    <row r="69" spans="2:11" x14ac:dyDescent="0.25">
      <c r="B69" s="79" t="s">
        <v>865</v>
      </c>
      <c r="C69" s="80" t="s">
        <v>970</v>
      </c>
      <c r="D69" s="107">
        <v>2</v>
      </c>
      <c r="E69" s="106">
        <v>12979.68</v>
      </c>
      <c r="G69" s="79" t="s">
        <v>141</v>
      </c>
      <c r="H69" s="80" t="s">
        <v>587</v>
      </c>
      <c r="I69" s="80" t="s">
        <v>970</v>
      </c>
      <c r="J69" s="334">
        <v>10964.89508331901</v>
      </c>
      <c r="K69" s="330">
        <v>10964.89508331901</v>
      </c>
    </row>
    <row r="70" spans="2:11" x14ac:dyDescent="0.25">
      <c r="B70" s="79" t="s">
        <v>809</v>
      </c>
      <c r="C70" s="80" t="s">
        <v>970</v>
      </c>
      <c r="D70" s="107">
        <v>2</v>
      </c>
      <c r="E70" s="106">
        <v>14454.867594720001</v>
      </c>
      <c r="G70" s="79" t="s">
        <v>914</v>
      </c>
      <c r="H70" s="80" t="s">
        <v>666</v>
      </c>
      <c r="I70" s="80" t="s">
        <v>970</v>
      </c>
      <c r="J70" s="334">
        <v>9024.9599999999991</v>
      </c>
      <c r="K70" s="330">
        <v>9024.9599999999991</v>
      </c>
    </row>
    <row r="71" spans="2:11" x14ac:dyDescent="0.25">
      <c r="B71" s="79" t="s">
        <v>864</v>
      </c>
      <c r="C71" s="80" t="s">
        <v>970</v>
      </c>
      <c r="D71" s="107">
        <v>2</v>
      </c>
      <c r="E71" s="106">
        <v>11991.84</v>
      </c>
      <c r="G71" s="375"/>
      <c r="H71" s="80" t="s">
        <v>659</v>
      </c>
      <c r="I71" s="80" t="s">
        <v>970</v>
      </c>
      <c r="J71" s="334">
        <v>9024.9599999999991</v>
      </c>
      <c r="K71" s="330">
        <v>9024.9599999999991</v>
      </c>
    </row>
    <row r="72" spans="2:11" x14ac:dyDescent="0.25">
      <c r="B72" s="79" t="s">
        <v>862</v>
      </c>
      <c r="C72" s="80" t="s">
        <v>970</v>
      </c>
      <c r="D72" s="107">
        <v>1</v>
      </c>
      <c r="E72" s="106">
        <v>5994.24</v>
      </c>
      <c r="G72" s="79" t="s">
        <v>819</v>
      </c>
      <c r="H72" s="80" t="s">
        <v>680</v>
      </c>
      <c r="I72" s="80" t="s">
        <v>970</v>
      </c>
      <c r="J72" s="334">
        <v>8583.3337262399982</v>
      </c>
      <c r="K72" s="330">
        <v>8583.3337262399982</v>
      </c>
    </row>
    <row r="73" spans="2:11" x14ac:dyDescent="0.25">
      <c r="B73" s="79" t="s">
        <v>898</v>
      </c>
      <c r="C73" s="80" t="s">
        <v>970</v>
      </c>
      <c r="D73" s="107">
        <v>9</v>
      </c>
      <c r="E73" s="106">
        <v>43044.959999999999</v>
      </c>
      <c r="G73" s="79" t="s">
        <v>137</v>
      </c>
      <c r="H73" s="80" t="s">
        <v>583</v>
      </c>
      <c r="I73" s="80" t="s">
        <v>970</v>
      </c>
      <c r="J73" s="334">
        <v>7969.4909162262011</v>
      </c>
      <c r="K73" s="330">
        <v>7969.4909162262011</v>
      </c>
    </row>
    <row r="74" spans="2:11" x14ac:dyDescent="0.25">
      <c r="B74" s="79" t="s">
        <v>877</v>
      </c>
      <c r="C74" s="80" t="s">
        <v>970</v>
      </c>
      <c r="D74" s="107">
        <v>2</v>
      </c>
      <c r="E74" s="106">
        <v>696776.64</v>
      </c>
      <c r="G74" s="79" t="s">
        <v>138</v>
      </c>
      <c r="H74" s="80" t="s">
        <v>584</v>
      </c>
      <c r="I74" s="80" t="s">
        <v>970</v>
      </c>
      <c r="J74" s="334">
        <v>7969.4909162262011</v>
      </c>
      <c r="K74" s="330">
        <v>7969.4909162262011</v>
      </c>
    </row>
    <row r="75" spans="2:11" x14ac:dyDescent="0.25">
      <c r="B75" s="79" t="s">
        <v>913</v>
      </c>
      <c r="C75" s="80" t="s">
        <v>970</v>
      </c>
      <c r="D75" s="107">
        <v>6</v>
      </c>
      <c r="E75" s="106">
        <v>15724.8</v>
      </c>
      <c r="G75" s="79" t="s">
        <v>897</v>
      </c>
      <c r="H75" s="80" t="s">
        <v>650</v>
      </c>
      <c r="I75" s="80" t="s">
        <v>970</v>
      </c>
      <c r="J75" s="334">
        <v>7620.48</v>
      </c>
      <c r="K75" s="330">
        <v>7620.48</v>
      </c>
    </row>
    <row r="76" spans="2:11" x14ac:dyDescent="0.25">
      <c r="B76" s="79" t="s">
        <v>917</v>
      </c>
      <c r="C76" s="80" t="s">
        <v>970</v>
      </c>
      <c r="D76" s="107">
        <v>1</v>
      </c>
      <c r="E76" s="106">
        <v>557.76</v>
      </c>
      <c r="G76" s="375"/>
      <c r="H76" s="80" t="s">
        <v>640</v>
      </c>
      <c r="I76" s="80" t="s">
        <v>970</v>
      </c>
      <c r="J76" s="334">
        <v>7620.48</v>
      </c>
      <c r="K76" s="330">
        <v>7620.48</v>
      </c>
    </row>
    <row r="77" spans="2:11" x14ac:dyDescent="0.25">
      <c r="B77" s="79" t="s">
        <v>142</v>
      </c>
      <c r="C77" s="80" t="s">
        <v>970</v>
      </c>
      <c r="D77" s="107">
        <v>1</v>
      </c>
      <c r="E77" s="106">
        <v>1073.3075260515361</v>
      </c>
      <c r="G77" s="79" t="s">
        <v>889</v>
      </c>
      <c r="H77" s="80" t="s">
        <v>637</v>
      </c>
      <c r="I77" s="80" t="s">
        <v>970</v>
      </c>
      <c r="J77" s="334">
        <v>7465.92</v>
      </c>
      <c r="K77" s="330">
        <v>7465.92</v>
      </c>
    </row>
    <row r="78" spans="2:11" x14ac:dyDescent="0.25">
      <c r="B78" s="79" t="s">
        <v>866</v>
      </c>
      <c r="C78" s="80" t="s">
        <v>970</v>
      </c>
      <c r="D78" s="107">
        <v>2</v>
      </c>
      <c r="E78" s="106">
        <v>201479.04000000001</v>
      </c>
      <c r="G78" s="375"/>
      <c r="H78" s="80" t="s">
        <v>623</v>
      </c>
      <c r="I78" s="80" t="s">
        <v>970</v>
      </c>
      <c r="J78" s="334">
        <v>7465.92</v>
      </c>
      <c r="K78" s="330">
        <v>7465.92</v>
      </c>
    </row>
    <row r="79" spans="2:11" x14ac:dyDescent="0.25">
      <c r="B79" s="79" t="s">
        <v>903</v>
      </c>
      <c r="C79" s="80" t="s">
        <v>970</v>
      </c>
      <c r="D79" s="107">
        <v>1</v>
      </c>
      <c r="E79" s="106">
        <v>351385.44</v>
      </c>
      <c r="G79" s="79" t="s">
        <v>915</v>
      </c>
      <c r="H79" s="80" t="s">
        <v>667</v>
      </c>
      <c r="I79" s="80" t="s">
        <v>970</v>
      </c>
      <c r="J79" s="334">
        <v>7328.16</v>
      </c>
      <c r="K79" s="330">
        <v>7328.16</v>
      </c>
    </row>
    <row r="80" spans="2:11" x14ac:dyDescent="0.25">
      <c r="B80" s="79" t="s">
        <v>900</v>
      </c>
      <c r="C80" s="80" t="s">
        <v>970</v>
      </c>
      <c r="D80" s="107">
        <v>2</v>
      </c>
      <c r="E80" s="106">
        <v>579606.72</v>
      </c>
      <c r="G80" s="375"/>
      <c r="H80" s="80" t="s">
        <v>660</v>
      </c>
      <c r="I80" s="80" t="s">
        <v>970</v>
      </c>
      <c r="J80" s="334">
        <v>7328.16</v>
      </c>
      <c r="K80" s="330">
        <v>7328.16</v>
      </c>
    </row>
    <row r="81" spans="2:11" x14ac:dyDescent="0.25">
      <c r="B81" s="79" t="s">
        <v>902</v>
      </c>
      <c r="C81" s="80" t="s">
        <v>970</v>
      </c>
      <c r="D81" s="107">
        <v>1</v>
      </c>
      <c r="E81" s="106">
        <v>362251.68</v>
      </c>
      <c r="G81" s="79" t="s">
        <v>809</v>
      </c>
      <c r="H81" s="80" t="s">
        <v>677</v>
      </c>
      <c r="I81" s="80" t="s">
        <v>970</v>
      </c>
      <c r="J81" s="334">
        <v>7227.4337973600004</v>
      </c>
      <c r="K81" s="330">
        <v>7227.4337973600004</v>
      </c>
    </row>
    <row r="82" spans="2:11" x14ac:dyDescent="0.25">
      <c r="B82" s="79" t="s">
        <v>896</v>
      </c>
      <c r="C82" s="80" t="s">
        <v>970</v>
      </c>
      <c r="D82" s="107">
        <v>2</v>
      </c>
      <c r="E82" s="106">
        <v>122666.88</v>
      </c>
      <c r="G82" s="79" t="s">
        <v>865</v>
      </c>
      <c r="H82" s="80" t="s">
        <v>601</v>
      </c>
      <c r="I82" s="80" t="s">
        <v>970</v>
      </c>
      <c r="J82" s="334">
        <v>6489.84</v>
      </c>
      <c r="K82" s="330">
        <v>6489.84</v>
      </c>
    </row>
    <row r="83" spans="2:11" x14ac:dyDescent="0.25">
      <c r="B83" s="79" t="s">
        <v>907</v>
      </c>
      <c r="C83" s="80" t="s">
        <v>970</v>
      </c>
      <c r="D83" s="107">
        <v>2</v>
      </c>
      <c r="E83" s="106">
        <v>2926.56</v>
      </c>
      <c r="G83" s="79" t="s">
        <v>863</v>
      </c>
      <c r="H83" s="80" t="s">
        <v>599</v>
      </c>
      <c r="I83" s="80" t="s">
        <v>970</v>
      </c>
      <c r="J83" s="334">
        <v>6488.16</v>
      </c>
      <c r="K83" s="330">
        <v>6488.16</v>
      </c>
    </row>
    <row r="84" spans="2:11" x14ac:dyDescent="0.25">
      <c r="B84" s="79" t="s">
        <v>66</v>
      </c>
      <c r="C84" s="80" t="s">
        <v>970</v>
      </c>
      <c r="D84" s="107">
        <v>3</v>
      </c>
      <c r="E84" s="106">
        <v>11229.080687999998</v>
      </c>
      <c r="G84" s="79" t="s">
        <v>864</v>
      </c>
      <c r="H84" s="80" t="s">
        <v>600</v>
      </c>
      <c r="I84" s="80" t="s">
        <v>970</v>
      </c>
      <c r="J84" s="334">
        <v>5995.92</v>
      </c>
      <c r="K84" s="330">
        <v>5995.92</v>
      </c>
    </row>
    <row r="85" spans="2:11" ht="20" x14ac:dyDescent="0.25">
      <c r="B85" s="79" t="s">
        <v>1702</v>
      </c>
      <c r="C85" s="80" t="s">
        <v>970</v>
      </c>
      <c r="D85" s="107">
        <v>1</v>
      </c>
      <c r="E85" s="106">
        <v>729533.28</v>
      </c>
      <c r="G85" s="79" t="s">
        <v>862</v>
      </c>
      <c r="H85" s="80" t="s">
        <v>598</v>
      </c>
      <c r="I85" s="80" t="s">
        <v>970</v>
      </c>
      <c r="J85" s="334">
        <v>5994.24</v>
      </c>
      <c r="K85" s="330">
        <v>5994.24</v>
      </c>
    </row>
    <row r="86" spans="2:11" ht="20" x14ac:dyDescent="0.25">
      <c r="B86" s="79" t="s">
        <v>1085</v>
      </c>
      <c r="C86" s="80" t="s">
        <v>970</v>
      </c>
      <c r="D86" s="107">
        <v>2</v>
      </c>
      <c r="E86" s="106">
        <v>2515248.96</v>
      </c>
      <c r="G86" s="79" t="s">
        <v>899</v>
      </c>
      <c r="H86" s="80" t="s">
        <v>652</v>
      </c>
      <c r="I86" s="80" t="s">
        <v>970</v>
      </c>
      <c r="J86" s="334">
        <v>5479.04</v>
      </c>
      <c r="K86" s="330">
        <v>5479.04</v>
      </c>
    </row>
    <row r="87" spans="2:11" ht="20" x14ac:dyDescent="0.25">
      <c r="B87" s="79" t="s">
        <v>1709</v>
      </c>
      <c r="C87" s="80" t="s">
        <v>970</v>
      </c>
      <c r="D87" s="107">
        <v>2</v>
      </c>
      <c r="E87" s="106">
        <v>2245094.88</v>
      </c>
      <c r="G87" s="375"/>
      <c r="H87" s="80" t="s">
        <v>642</v>
      </c>
      <c r="I87" s="80" t="s">
        <v>970</v>
      </c>
      <c r="J87" s="334">
        <v>5477.92</v>
      </c>
      <c r="K87" s="330">
        <v>5477.92</v>
      </c>
    </row>
    <row r="88" spans="2:11" x14ac:dyDescent="0.25">
      <c r="B88" s="79" t="s">
        <v>892</v>
      </c>
      <c r="C88" s="80" t="s">
        <v>970</v>
      </c>
      <c r="D88" s="107">
        <v>2</v>
      </c>
      <c r="E88" s="106">
        <v>6955.2</v>
      </c>
      <c r="G88" s="79" t="s">
        <v>898</v>
      </c>
      <c r="H88" s="80" t="s">
        <v>651</v>
      </c>
      <c r="I88" s="80" t="s">
        <v>970</v>
      </c>
      <c r="J88" s="334">
        <v>4782.96</v>
      </c>
      <c r="K88" s="330">
        <v>4782.96</v>
      </c>
    </row>
    <row r="89" spans="2:11" x14ac:dyDescent="0.25">
      <c r="B89" s="79" t="s">
        <v>854</v>
      </c>
      <c r="C89" s="80" t="s">
        <v>970</v>
      </c>
      <c r="D89" s="107">
        <v>1</v>
      </c>
      <c r="E89" s="106">
        <v>907.2</v>
      </c>
      <c r="G89" s="375"/>
      <c r="H89" s="80" t="s">
        <v>641</v>
      </c>
      <c r="I89" s="80" t="s">
        <v>970</v>
      </c>
      <c r="J89" s="334">
        <v>4782.3999999999996</v>
      </c>
      <c r="K89" s="330">
        <v>4782.3999999999996</v>
      </c>
    </row>
    <row r="90" spans="2:11" x14ac:dyDescent="0.25">
      <c r="B90" s="79" t="s">
        <v>855</v>
      </c>
      <c r="C90" s="80" t="s">
        <v>970</v>
      </c>
      <c r="D90" s="107">
        <v>2</v>
      </c>
      <c r="E90" s="106">
        <v>5994.24</v>
      </c>
      <c r="G90" s="79" t="s">
        <v>135</v>
      </c>
      <c r="H90" s="80" t="s">
        <v>581</v>
      </c>
      <c r="I90" s="80" t="s">
        <v>970</v>
      </c>
      <c r="J90" s="334">
        <v>4754.4359458994913</v>
      </c>
      <c r="K90" s="330">
        <v>4754.4359458994913</v>
      </c>
    </row>
    <row r="91" spans="2:11" x14ac:dyDescent="0.25">
      <c r="B91" s="79" t="s">
        <v>856</v>
      </c>
      <c r="C91" s="80" t="s">
        <v>970</v>
      </c>
      <c r="D91" s="107">
        <v>1</v>
      </c>
      <c r="E91" s="106">
        <v>4105.92</v>
      </c>
      <c r="G91" s="79" t="s">
        <v>856</v>
      </c>
      <c r="H91" s="80" t="s">
        <v>592</v>
      </c>
      <c r="I91" s="80" t="s">
        <v>970</v>
      </c>
      <c r="J91" s="334">
        <v>4105.92</v>
      </c>
      <c r="K91" s="330">
        <v>4105.92</v>
      </c>
    </row>
    <row r="92" spans="2:11" x14ac:dyDescent="0.25">
      <c r="B92" s="79" t="s">
        <v>808</v>
      </c>
      <c r="C92" s="80" t="s">
        <v>970</v>
      </c>
      <c r="D92" s="107">
        <v>2</v>
      </c>
      <c r="E92" s="106">
        <v>6037.5016329600003</v>
      </c>
      <c r="G92" s="79" t="s">
        <v>133</v>
      </c>
      <c r="H92" s="80" t="s">
        <v>579</v>
      </c>
      <c r="I92" s="80" t="s">
        <v>971</v>
      </c>
      <c r="J92" s="334">
        <v>3760.2270470513004</v>
      </c>
      <c r="K92" s="330">
        <v>3760.2270470513004</v>
      </c>
    </row>
    <row r="93" spans="2:11" x14ac:dyDescent="0.25">
      <c r="B93" s="79" t="s">
        <v>857</v>
      </c>
      <c r="C93" s="80" t="s">
        <v>970</v>
      </c>
      <c r="D93" s="107">
        <v>1</v>
      </c>
      <c r="E93" s="106">
        <v>2657.76</v>
      </c>
      <c r="G93" s="79" t="s">
        <v>66</v>
      </c>
      <c r="H93" s="80" t="s">
        <v>562</v>
      </c>
      <c r="I93" s="80" t="s">
        <v>970</v>
      </c>
      <c r="J93" s="334">
        <v>3743.0268959999994</v>
      </c>
      <c r="K93" s="330">
        <v>3743.0268959999994</v>
      </c>
    </row>
    <row r="94" spans="2:11" x14ac:dyDescent="0.25">
      <c r="B94" s="79" t="s">
        <v>912</v>
      </c>
      <c r="C94" s="80" t="s">
        <v>970</v>
      </c>
      <c r="D94" s="107">
        <v>2</v>
      </c>
      <c r="E94" s="106">
        <v>2472.96</v>
      </c>
      <c r="G94" s="79" t="s">
        <v>139</v>
      </c>
      <c r="H94" s="80" t="s">
        <v>585</v>
      </c>
      <c r="I94" s="80" t="s">
        <v>970</v>
      </c>
      <c r="J94" s="334">
        <v>3661.6579885363635</v>
      </c>
      <c r="K94" s="330">
        <v>3661.6579885363635</v>
      </c>
    </row>
    <row r="95" spans="2:11" x14ac:dyDescent="0.25">
      <c r="B95" s="79" t="s">
        <v>891</v>
      </c>
      <c r="C95" s="80" t="s">
        <v>970</v>
      </c>
      <c r="D95" s="107">
        <v>2</v>
      </c>
      <c r="E95" s="106">
        <v>6182.4</v>
      </c>
      <c r="G95" s="79" t="s">
        <v>892</v>
      </c>
      <c r="H95" s="80" t="s">
        <v>626</v>
      </c>
      <c r="I95" s="80" t="s">
        <v>970</v>
      </c>
      <c r="J95" s="334">
        <v>3477.6</v>
      </c>
      <c r="K95" s="330">
        <v>3477.6</v>
      </c>
    </row>
    <row r="96" spans="2:11" x14ac:dyDescent="0.25">
      <c r="B96" s="79" t="s">
        <v>908</v>
      </c>
      <c r="C96" s="80" t="s">
        <v>970</v>
      </c>
      <c r="D96" s="107">
        <v>2</v>
      </c>
      <c r="E96" s="106">
        <v>39574.080000000002</v>
      </c>
      <c r="G96" s="79" t="s">
        <v>872</v>
      </c>
      <c r="H96" s="80" t="s">
        <v>608</v>
      </c>
      <c r="I96" s="80" t="s">
        <v>970</v>
      </c>
      <c r="J96" s="334">
        <v>3419.7046153846159</v>
      </c>
      <c r="K96" s="330">
        <v>3419.7046153846159</v>
      </c>
    </row>
    <row r="97" spans="2:11" x14ac:dyDescent="0.25">
      <c r="B97" s="79" t="s">
        <v>141</v>
      </c>
      <c r="C97" s="80" t="s">
        <v>970</v>
      </c>
      <c r="D97" s="107">
        <v>2</v>
      </c>
      <c r="E97" s="106">
        <v>21929.79016663802</v>
      </c>
      <c r="G97" s="79" t="s">
        <v>140</v>
      </c>
      <c r="H97" s="80" t="s">
        <v>586</v>
      </c>
      <c r="I97" s="80" t="s">
        <v>970</v>
      </c>
      <c r="J97" s="334">
        <v>3319.7085386265203</v>
      </c>
      <c r="K97" s="330">
        <v>3319.7085386265203</v>
      </c>
    </row>
    <row r="98" spans="2:11" x14ac:dyDescent="0.25">
      <c r="B98" s="79" t="s">
        <v>1001</v>
      </c>
      <c r="C98" s="80" t="s">
        <v>970</v>
      </c>
      <c r="D98" s="107">
        <v>2</v>
      </c>
      <c r="E98" s="106">
        <v>514.21103999999991</v>
      </c>
      <c r="G98" s="79" t="s">
        <v>891</v>
      </c>
      <c r="H98" s="80" t="s">
        <v>625</v>
      </c>
      <c r="I98" s="80" t="s">
        <v>970</v>
      </c>
      <c r="J98" s="334">
        <v>3091.2</v>
      </c>
      <c r="K98" s="330">
        <v>3091.2</v>
      </c>
    </row>
    <row r="99" spans="2:11" x14ac:dyDescent="0.25">
      <c r="B99" s="79" t="s">
        <v>1002</v>
      </c>
      <c r="C99" s="80" t="s">
        <v>970</v>
      </c>
      <c r="D99" s="107">
        <v>1</v>
      </c>
      <c r="E99" s="106">
        <v>514.21103999999991</v>
      </c>
      <c r="G99" s="79" t="s">
        <v>808</v>
      </c>
      <c r="H99" s="80" t="s">
        <v>675</v>
      </c>
      <c r="I99" s="80" t="s">
        <v>970</v>
      </c>
      <c r="J99" s="334">
        <v>3018.7508164800001</v>
      </c>
      <c r="K99" s="330">
        <v>3018.7508164800001</v>
      </c>
    </row>
    <row r="100" spans="2:11" x14ac:dyDescent="0.25">
      <c r="B100" s="79" t="s">
        <v>878</v>
      </c>
      <c r="C100" s="80" t="s">
        <v>970</v>
      </c>
      <c r="D100" s="107">
        <v>2</v>
      </c>
      <c r="E100" s="106">
        <v>49365.120000000003</v>
      </c>
      <c r="G100" s="79" t="s">
        <v>855</v>
      </c>
      <c r="H100" s="80" t="s">
        <v>591</v>
      </c>
      <c r="I100" s="80" t="s">
        <v>970</v>
      </c>
      <c r="J100" s="334">
        <v>2997.12</v>
      </c>
      <c r="K100" s="330">
        <v>2997.12</v>
      </c>
    </row>
    <row r="101" spans="2:11" x14ac:dyDescent="0.25">
      <c r="B101" s="79" t="s">
        <v>879</v>
      </c>
      <c r="C101" s="80" t="s">
        <v>970</v>
      </c>
      <c r="D101" s="107">
        <v>1</v>
      </c>
      <c r="E101" s="106">
        <v>20116.32</v>
      </c>
      <c r="G101" s="79" t="s">
        <v>857</v>
      </c>
      <c r="H101" s="80" t="s">
        <v>593</v>
      </c>
      <c r="I101" s="80" t="s">
        <v>970</v>
      </c>
      <c r="J101" s="334">
        <v>2657.76</v>
      </c>
      <c r="K101" s="330">
        <v>2657.76</v>
      </c>
    </row>
    <row r="102" spans="2:11" x14ac:dyDescent="0.25">
      <c r="B102" s="79" t="s">
        <v>817</v>
      </c>
      <c r="C102" s="80" t="s">
        <v>970</v>
      </c>
      <c r="D102" s="107">
        <v>1</v>
      </c>
      <c r="E102" s="106">
        <v>11675.994220799999</v>
      </c>
      <c r="G102" s="79" t="s">
        <v>913</v>
      </c>
      <c r="H102" s="80" t="s">
        <v>672</v>
      </c>
      <c r="I102" s="80" t="s">
        <v>970</v>
      </c>
      <c r="J102" s="334">
        <v>2620.8000000000002</v>
      </c>
      <c r="K102" s="330">
        <v>2620.8000000000002</v>
      </c>
    </row>
    <row r="103" spans="2:11" x14ac:dyDescent="0.25">
      <c r="B103" s="79" t="s">
        <v>876</v>
      </c>
      <c r="C103" s="80" t="s">
        <v>970</v>
      </c>
      <c r="D103" s="107">
        <v>2</v>
      </c>
      <c r="E103" s="106">
        <v>62139.839999999997</v>
      </c>
      <c r="G103" s="375"/>
      <c r="H103" s="80" t="s">
        <v>658</v>
      </c>
      <c r="I103" s="80" t="s">
        <v>970</v>
      </c>
      <c r="J103" s="334">
        <v>2620.8000000000002</v>
      </c>
      <c r="K103" s="330">
        <v>2620.8000000000002</v>
      </c>
    </row>
    <row r="104" spans="2:11" x14ac:dyDescent="0.25">
      <c r="B104" s="79" t="s">
        <v>1025</v>
      </c>
      <c r="C104" s="80" t="s">
        <v>970</v>
      </c>
      <c r="D104" s="107">
        <v>1</v>
      </c>
      <c r="E104" s="106">
        <v>173244.96</v>
      </c>
      <c r="G104" s="375"/>
      <c r="H104" s="80" t="s">
        <v>664</v>
      </c>
      <c r="I104" s="80" t="s">
        <v>970</v>
      </c>
      <c r="J104" s="334">
        <v>2620.8000000000002</v>
      </c>
      <c r="K104" s="330">
        <v>2620.8000000000002</v>
      </c>
    </row>
    <row r="105" spans="2:11" x14ac:dyDescent="0.25">
      <c r="B105" s="79" t="s">
        <v>70</v>
      </c>
      <c r="C105" s="80" t="s">
        <v>970</v>
      </c>
      <c r="D105" s="107">
        <v>2</v>
      </c>
      <c r="E105" s="106">
        <v>100950.87643199999</v>
      </c>
      <c r="G105" s="375"/>
      <c r="H105" s="80" t="s">
        <v>669</v>
      </c>
      <c r="I105" s="80" t="s">
        <v>970</v>
      </c>
      <c r="J105" s="334">
        <v>2620.8000000000002</v>
      </c>
      <c r="K105" s="330">
        <v>2620.8000000000002</v>
      </c>
    </row>
    <row r="106" spans="2:11" ht="13" x14ac:dyDescent="0.25">
      <c r="B106" s="83" t="s">
        <v>688</v>
      </c>
      <c r="C106" s="84"/>
      <c r="D106" s="108">
        <v>327.60000000000002</v>
      </c>
      <c r="E106" s="105">
        <v>60544182.435764164</v>
      </c>
      <c r="G106" s="79" t="s">
        <v>873</v>
      </c>
      <c r="H106" s="80" t="s">
        <v>609</v>
      </c>
      <c r="I106" s="80" t="s">
        <v>970</v>
      </c>
      <c r="J106" s="334">
        <v>2536.8000000000002</v>
      </c>
      <c r="K106" s="330">
        <v>2536.8000000000002</v>
      </c>
    </row>
    <row r="107" spans="2:11" x14ac:dyDescent="0.25">
      <c r="G107" s="79" t="s">
        <v>143</v>
      </c>
      <c r="H107" s="80" t="s">
        <v>589</v>
      </c>
      <c r="I107" s="80" t="s">
        <v>970</v>
      </c>
      <c r="J107" s="334">
        <v>2426.5025022072145</v>
      </c>
      <c r="K107" s="330">
        <v>2426.5025022072145</v>
      </c>
    </row>
    <row r="108" spans="2:11" x14ac:dyDescent="0.25">
      <c r="G108" s="79" t="s">
        <v>134</v>
      </c>
      <c r="H108" s="80" t="s">
        <v>580</v>
      </c>
      <c r="I108" s="80" t="s">
        <v>970</v>
      </c>
      <c r="J108" s="334">
        <v>2263.4376399726275</v>
      </c>
      <c r="K108" s="330">
        <v>2263.4376399726275</v>
      </c>
    </row>
    <row r="109" spans="2:11" x14ac:dyDescent="0.25">
      <c r="G109" s="79" t="s">
        <v>907</v>
      </c>
      <c r="H109" s="80" t="s">
        <v>653</v>
      </c>
      <c r="I109" s="80" t="s">
        <v>970</v>
      </c>
      <c r="J109" s="334">
        <v>1463.28</v>
      </c>
      <c r="K109" s="330">
        <v>1463.28</v>
      </c>
    </row>
    <row r="110" spans="2:11" x14ac:dyDescent="0.25">
      <c r="G110" s="79" t="s">
        <v>858</v>
      </c>
      <c r="H110" s="80" t="s">
        <v>676</v>
      </c>
      <c r="I110" s="80" t="s">
        <v>970</v>
      </c>
      <c r="J110" s="334">
        <v>1282.1377396800001</v>
      </c>
      <c r="K110" s="330">
        <v>1282.1377396800001</v>
      </c>
    </row>
    <row r="111" spans="2:11" x14ac:dyDescent="0.25">
      <c r="G111" s="375"/>
      <c r="H111" s="80" t="s">
        <v>594</v>
      </c>
      <c r="I111" s="80" t="s">
        <v>970</v>
      </c>
      <c r="J111" s="334">
        <v>1281.3920000000001</v>
      </c>
      <c r="K111" s="330">
        <v>1281.3920000000001</v>
      </c>
    </row>
    <row r="112" spans="2:11" x14ac:dyDescent="0.25">
      <c r="G112" s="79" t="s">
        <v>912</v>
      </c>
      <c r="H112" s="80" t="s">
        <v>663</v>
      </c>
      <c r="I112" s="80" t="s">
        <v>970</v>
      </c>
      <c r="J112" s="334">
        <v>1236.48</v>
      </c>
      <c r="K112" s="330">
        <v>1236.48</v>
      </c>
    </row>
    <row r="113" spans="7:11" x14ac:dyDescent="0.25">
      <c r="G113" s="375"/>
      <c r="H113" s="80" t="s">
        <v>657</v>
      </c>
      <c r="I113" s="80" t="s">
        <v>970</v>
      </c>
      <c r="J113" s="334">
        <v>1236.48</v>
      </c>
      <c r="K113" s="330">
        <v>1236.48</v>
      </c>
    </row>
    <row r="114" spans="7:11" x14ac:dyDescent="0.25">
      <c r="G114" s="79" t="s">
        <v>909</v>
      </c>
      <c r="H114" s="80" t="s">
        <v>655</v>
      </c>
      <c r="I114" s="80" t="s">
        <v>970</v>
      </c>
      <c r="J114" s="334">
        <v>1145.76</v>
      </c>
      <c r="K114" s="330">
        <v>1145.76</v>
      </c>
    </row>
    <row r="115" spans="7:11" x14ac:dyDescent="0.25">
      <c r="G115" s="79" t="s">
        <v>142</v>
      </c>
      <c r="H115" s="80" t="s">
        <v>588</v>
      </c>
      <c r="I115" s="80" t="s">
        <v>970</v>
      </c>
      <c r="J115" s="334">
        <v>1073.3075260515361</v>
      </c>
      <c r="K115" s="330">
        <v>1073.3075260515361</v>
      </c>
    </row>
    <row r="116" spans="7:11" x14ac:dyDescent="0.25">
      <c r="G116" s="79" t="s">
        <v>859</v>
      </c>
      <c r="H116" s="80" t="s">
        <v>595</v>
      </c>
      <c r="I116" s="80" t="s">
        <v>970</v>
      </c>
      <c r="J116" s="334">
        <v>1069.152</v>
      </c>
      <c r="K116" s="330">
        <v>1069.152</v>
      </c>
    </row>
    <row r="117" spans="7:11" x14ac:dyDescent="0.25">
      <c r="G117" s="79" t="s">
        <v>1075</v>
      </c>
      <c r="H117" s="80" t="s">
        <v>558</v>
      </c>
      <c r="I117" s="80" t="s">
        <v>970</v>
      </c>
      <c r="J117" s="334">
        <v>981.12</v>
      </c>
      <c r="K117" s="330">
        <v>981.12</v>
      </c>
    </row>
    <row r="118" spans="7:11" x14ac:dyDescent="0.25">
      <c r="G118" s="79" t="s">
        <v>854</v>
      </c>
      <c r="H118" s="80" t="s">
        <v>590</v>
      </c>
      <c r="I118" s="80" t="s">
        <v>970</v>
      </c>
      <c r="J118" s="334">
        <v>907.2</v>
      </c>
      <c r="K118" s="330">
        <v>907.2</v>
      </c>
    </row>
    <row r="119" spans="7:11" x14ac:dyDescent="0.25">
      <c r="G119" s="79" t="s">
        <v>888</v>
      </c>
      <c r="H119" s="80" t="s">
        <v>636</v>
      </c>
      <c r="I119" s="80" t="s">
        <v>970</v>
      </c>
      <c r="J119" s="334">
        <v>850.08</v>
      </c>
      <c r="K119" s="330">
        <v>850.08</v>
      </c>
    </row>
    <row r="120" spans="7:11" x14ac:dyDescent="0.25">
      <c r="G120" s="375"/>
      <c r="H120" s="80" t="s">
        <v>622</v>
      </c>
      <c r="I120" s="80" t="s">
        <v>970</v>
      </c>
      <c r="J120" s="334">
        <v>850.08</v>
      </c>
      <c r="K120" s="330">
        <v>850.08</v>
      </c>
    </row>
    <row r="121" spans="7:11" x14ac:dyDescent="0.25">
      <c r="G121" s="79" t="s">
        <v>890</v>
      </c>
      <c r="H121" s="80" t="s">
        <v>624</v>
      </c>
      <c r="I121" s="80" t="s">
        <v>970</v>
      </c>
      <c r="J121" s="334">
        <v>810.76800000000003</v>
      </c>
      <c r="K121" s="330">
        <v>810.76800000000003</v>
      </c>
    </row>
    <row r="122" spans="7:11" x14ac:dyDescent="0.25">
      <c r="G122" s="375"/>
      <c r="H122" s="80" t="s">
        <v>638</v>
      </c>
      <c r="I122" s="80" t="s">
        <v>970</v>
      </c>
      <c r="J122" s="334">
        <v>810.43200000000002</v>
      </c>
      <c r="K122" s="330">
        <v>810.43200000000002</v>
      </c>
    </row>
    <row r="123" spans="7:11" x14ac:dyDescent="0.25">
      <c r="G123" s="79" t="s">
        <v>917</v>
      </c>
      <c r="H123" s="80" t="s">
        <v>665</v>
      </c>
      <c r="I123" s="80" t="s">
        <v>970</v>
      </c>
      <c r="J123" s="334">
        <v>557.76</v>
      </c>
      <c r="K123" s="330">
        <v>557.76</v>
      </c>
    </row>
    <row r="124" spans="7:11" x14ac:dyDescent="0.25">
      <c r="G124" s="79" t="s">
        <v>1002</v>
      </c>
      <c r="H124" s="80" t="s">
        <v>575</v>
      </c>
      <c r="I124" s="80" t="s">
        <v>970</v>
      </c>
      <c r="J124" s="334">
        <v>514.21103999999991</v>
      </c>
      <c r="K124" s="330">
        <v>514.21103999999991</v>
      </c>
    </row>
    <row r="125" spans="7:11" x14ac:dyDescent="0.25">
      <c r="G125" s="79" t="s">
        <v>1076</v>
      </c>
      <c r="H125" s="80" t="s">
        <v>559</v>
      </c>
      <c r="I125" s="80" t="s">
        <v>970</v>
      </c>
      <c r="J125" s="334">
        <v>430.08</v>
      </c>
      <c r="K125" s="330">
        <v>430.08</v>
      </c>
    </row>
    <row r="126" spans="7:11" x14ac:dyDescent="0.25">
      <c r="G126" s="79" t="s">
        <v>1000</v>
      </c>
      <c r="H126" s="80" t="s">
        <v>571</v>
      </c>
      <c r="I126" s="80" t="s">
        <v>970</v>
      </c>
      <c r="J126" s="334">
        <v>356.98823999999996</v>
      </c>
      <c r="K126" s="330">
        <v>356.98823999999996</v>
      </c>
    </row>
    <row r="127" spans="7:11" x14ac:dyDescent="0.25">
      <c r="G127" s="79" t="s">
        <v>999</v>
      </c>
      <c r="H127" s="80" t="s">
        <v>570</v>
      </c>
      <c r="I127" s="80" t="s">
        <v>970</v>
      </c>
      <c r="J127" s="334">
        <v>323.86367999999999</v>
      </c>
      <c r="K127" s="330">
        <v>323.86367999999999</v>
      </c>
    </row>
    <row r="128" spans="7:11" x14ac:dyDescent="0.25">
      <c r="G128" s="79" t="s">
        <v>993</v>
      </c>
      <c r="H128" s="80" t="s">
        <v>569</v>
      </c>
      <c r="I128" s="80" t="s">
        <v>970</v>
      </c>
      <c r="J128" s="334">
        <v>285.60000000000002</v>
      </c>
      <c r="K128" s="330">
        <v>285.60000000000002</v>
      </c>
    </row>
    <row r="129" spans="7:11" x14ac:dyDescent="0.25">
      <c r="G129" s="375"/>
      <c r="H129" s="80" t="s">
        <v>573</v>
      </c>
      <c r="I129" s="80" t="s">
        <v>970</v>
      </c>
      <c r="J129" s="334">
        <v>284.85071999999997</v>
      </c>
      <c r="K129" s="330">
        <v>284.85071999999997</v>
      </c>
    </row>
    <row r="130" spans="7:11" x14ac:dyDescent="0.25">
      <c r="G130" s="79" t="s">
        <v>1001</v>
      </c>
      <c r="H130" s="80" t="s">
        <v>574</v>
      </c>
      <c r="I130" s="80" t="s">
        <v>970</v>
      </c>
      <c r="J130" s="334">
        <v>257.10551999999996</v>
      </c>
      <c r="K130" s="330">
        <v>257.10551999999996</v>
      </c>
    </row>
    <row r="131" spans="7:11" x14ac:dyDescent="0.25">
      <c r="G131" s="79" t="s">
        <v>992</v>
      </c>
      <c r="H131" s="80" t="s">
        <v>572</v>
      </c>
      <c r="I131" s="80" t="s">
        <v>970</v>
      </c>
      <c r="J131" s="334">
        <v>242.30807999999999</v>
      </c>
      <c r="K131" s="330">
        <v>242.30807999999999</v>
      </c>
    </row>
    <row r="132" spans="7:11" x14ac:dyDescent="0.25">
      <c r="G132" s="375"/>
      <c r="H132" s="80" t="s">
        <v>568</v>
      </c>
      <c r="I132" s="80" t="s">
        <v>970</v>
      </c>
      <c r="J132" s="334">
        <v>238.56</v>
      </c>
      <c r="K132" s="330">
        <v>238.56</v>
      </c>
    </row>
    <row r="133" spans="7:11" ht="13" x14ac:dyDescent="0.25">
      <c r="G133" s="83" t="s">
        <v>688</v>
      </c>
      <c r="H133" s="84"/>
      <c r="I133" s="84"/>
      <c r="J133" s="335">
        <v>6442544.6399999997</v>
      </c>
      <c r="K133" s="331">
        <v>238.56</v>
      </c>
    </row>
  </sheetData>
  <phoneticPr fontId="7" type="noConversion"/>
  <printOptions horizontalCentered="1"/>
  <pageMargins left="0.78740157480314965" right="0.16" top="0.33" bottom="0.44" header="0.17" footer="0.17"/>
  <pageSetup paperSize="9" scale="73" fitToHeight="0" orientation="portrait" r:id="rId3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6"/>
  <dimension ref="B2:K133"/>
  <sheetViews>
    <sheetView workbookViewId="0"/>
  </sheetViews>
  <sheetFormatPr defaultRowHeight="12.5" x14ac:dyDescent="0.25"/>
  <cols>
    <col min="1" max="1" width="2.54296875" customWidth="1"/>
    <col min="2" max="2" width="70.54296875" customWidth="1"/>
    <col min="3" max="3" width="6.54296875" customWidth="1"/>
    <col min="4" max="4" width="8.453125" bestFit="1" customWidth="1"/>
    <col min="5" max="5" width="8.7265625" bestFit="1" customWidth="1"/>
    <col min="6" max="6" width="9.7265625" customWidth="1"/>
    <col min="7" max="8" width="12.81640625" bestFit="1" customWidth="1"/>
    <col min="9" max="9" width="10.26953125" bestFit="1" customWidth="1"/>
    <col min="10" max="10" width="14" customWidth="1"/>
    <col min="11" max="11" width="22.453125" customWidth="1"/>
  </cols>
  <sheetData>
    <row r="2" spans="2:11" x14ac:dyDescent="0.25">
      <c r="B2" s="437" t="s">
        <v>64</v>
      </c>
      <c r="C2" s="103" t="s">
        <v>57</v>
      </c>
    </row>
    <row r="3" spans="2:11" ht="13" thickBot="1" x14ac:dyDescent="0.3"/>
    <row r="4" spans="2:11" x14ac:dyDescent="0.25">
      <c r="B4" s="80"/>
      <c r="C4" s="78"/>
      <c r="D4" s="78"/>
      <c r="E4" s="78"/>
      <c r="F4" s="77" t="s">
        <v>689</v>
      </c>
      <c r="G4" s="78"/>
      <c r="H4" s="78"/>
      <c r="I4" s="81"/>
      <c r="J4" s="377"/>
      <c r="K4" s="378"/>
    </row>
    <row r="5" spans="2:11" s="374" customFormat="1" ht="39" x14ac:dyDescent="0.25">
      <c r="B5" s="336" t="s">
        <v>682</v>
      </c>
      <c r="C5" s="336" t="s">
        <v>687</v>
      </c>
      <c r="D5" s="336" t="s">
        <v>11</v>
      </c>
      <c r="E5" s="336" t="s">
        <v>683</v>
      </c>
      <c r="F5" s="372" t="s">
        <v>690</v>
      </c>
      <c r="G5" s="373" t="s">
        <v>60</v>
      </c>
      <c r="H5" s="376" t="s">
        <v>61</v>
      </c>
      <c r="I5" s="440" t="s">
        <v>848</v>
      </c>
      <c r="J5" s="379" t="s">
        <v>62</v>
      </c>
      <c r="K5" s="380" t="s">
        <v>63</v>
      </c>
    </row>
    <row r="6" spans="2:11" x14ac:dyDescent="0.25">
      <c r="B6" s="369" t="s">
        <v>883</v>
      </c>
      <c r="C6" s="80" t="s">
        <v>617</v>
      </c>
      <c r="D6" s="80" t="s">
        <v>46</v>
      </c>
      <c r="E6" s="80" t="s">
        <v>970</v>
      </c>
      <c r="F6" s="337">
        <v>5</v>
      </c>
      <c r="G6" s="371">
        <v>1743588.0694734931</v>
      </c>
      <c r="H6" s="371">
        <v>8717940.3473674655</v>
      </c>
      <c r="I6" s="441">
        <v>288935.47200000001</v>
      </c>
      <c r="J6" s="381"/>
      <c r="K6" s="382"/>
    </row>
    <row r="7" spans="2:11" x14ac:dyDescent="0.25">
      <c r="B7" s="370"/>
      <c r="C7" s="80" t="s">
        <v>633</v>
      </c>
      <c r="D7" s="80" t="s">
        <v>46</v>
      </c>
      <c r="E7" s="80" t="s">
        <v>970</v>
      </c>
      <c r="F7" s="337">
        <v>1</v>
      </c>
      <c r="G7" s="371">
        <v>1743588.2513412749</v>
      </c>
      <c r="H7" s="371">
        <v>1743588.2513412749</v>
      </c>
      <c r="I7" s="441">
        <v>57788.639999999999</v>
      </c>
      <c r="J7" s="381"/>
      <c r="K7" s="382"/>
    </row>
    <row r="8" spans="2:11" ht="25" x14ac:dyDescent="0.25">
      <c r="B8" s="369" t="s">
        <v>130</v>
      </c>
      <c r="C8" s="80" t="s">
        <v>577</v>
      </c>
      <c r="D8" s="80" t="s">
        <v>43</v>
      </c>
      <c r="E8" s="80" t="s">
        <v>132</v>
      </c>
      <c r="F8" s="337">
        <v>1</v>
      </c>
      <c r="G8" s="371">
        <v>823707.73322080239</v>
      </c>
      <c r="H8" s="371">
        <v>823707.73322080239</v>
      </c>
      <c r="I8" s="441">
        <v>0</v>
      </c>
      <c r="J8" s="381"/>
      <c r="K8" s="382"/>
    </row>
    <row r="9" spans="2:11" x14ac:dyDescent="0.25">
      <c r="B9" s="369" t="s">
        <v>1073</v>
      </c>
      <c r="C9" s="80" t="s">
        <v>556</v>
      </c>
      <c r="D9" s="80" t="s">
        <v>26</v>
      </c>
      <c r="E9" s="80" t="s">
        <v>970</v>
      </c>
      <c r="F9" s="337">
        <v>1</v>
      </c>
      <c r="G9" s="371">
        <v>371283.07720287354</v>
      </c>
      <c r="H9" s="371">
        <v>371283.07720287354</v>
      </c>
      <c r="I9" s="441">
        <v>0</v>
      </c>
      <c r="J9" s="381"/>
      <c r="K9" s="382"/>
    </row>
    <row r="10" spans="2:11" ht="25" x14ac:dyDescent="0.25">
      <c r="B10" s="369" t="s">
        <v>1085</v>
      </c>
      <c r="C10" s="80" t="s">
        <v>560</v>
      </c>
      <c r="D10" s="80" t="s">
        <v>28</v>
      </c>
      <c r="E10" s="80" t="s">
        <v>970</v>
      </c>
      <c r="F10" s="337">
        <v>2</v>
      </c>
      <c r="G10" s="371">
        <v>340359.18886969174</v>
      </c>
      <c r="H10" s="371">
        <v>680718.37773938349</v>
      </c>
      <c r="I10" s="441">
        <v>0</v>
      </c>
      <c r="J10" s="381"/>
      <c r="K10" s="382"/>
    </row>
    <row r="11" spans="2:11" ht="37.5" x14ac:dyDescent="0.25">
      <c r="B11" s="369" t="s">
        <v>1709</v>
      </c>
      <c r="C11" s="80" t="s">
        <v>555</v>
      </c>
      <c r="D11" s="80" t="s">
        <v>21</v>
      </c>
      <c r="E11" s="80" t="s">
        <v>970</v>
      </c>
      <c r="F11" s="337">
        <v>2</v>
      </c>
      <c r="G11" s="371">
        <v>303802.40065472404</v>
      </c>
      <c r="H11" s="371">
        <v>607604.80130944808</v>
      </c>
      <c r="I11" s="441">
        <v>0</v>
      </c>
      <c r="J11" s="381"/>
      <c r="K11" s="382"/>
    </row>
    <row r="12" spans="2:11" ht="37.5" x14ac:dyDescent="0.25">
      <c r="B12" s="369" t="s">
        <v>68</v>
      </c>
      <c r="C12" s="80" t="s">
        <v>564</v>
      </c>
      <c r="D12" s="80" t="s">
        <v>32</v>
      </c>
      <c r="E12" s="80" t="s">
        <v>970</v>
      </c>
      <c r="F12" s="337">
        <v>1</v>
      </c>
      <c r="G12" s="371">
        <v>197973.0906610894</v>
      </c>
      <c r="H12" s="371">
        <v>197973.0906610894</v>
      </c>
      <c r="I12" s="441">
        <v>0</v>
      </c>
      <c r="J12" s="381"/>
      <c r="K12" s="382"/>
    </row>
    <row r="13" spans="2:11" ht="37.5" x14ac:dyDescent="0.25">
      <c r="B13" s="369" t="s">
        <v>1702</v>
      </c>
      <c r="C13" s="80" t="s">
        <v>554</v>
      </c>
      <c r="D13" s="80" t="s">
        <v>20</v>
      </c>
      <c r="E13" s="80" t="s">
        <v>970</v>
      </c>
      <c r="F13" s="337">
        <v>1</v>
      </c>
      <c r="G13" s="371">
        <v>197438.39228880606</v>
      </c>
      <c r="H13" s="371">
        <v>197438.39228880606</v>
      </c>
      <c r="I13" s="441">
        <v>0</v>
      </c>
      <c r="J13" s="381"/>
      <c r="K13" s="382"/>
    </row>
    <row r="14" spans="2:11" x14ac:dyDescent="0.25">
      <c r="B14" s="369" t="s">
        <v>877</v>
      </c>
      <c r="C14" s="80" t="s">
        <v>611</v>
      </c>
      <c r="D14" s="80" t="s">
        <v>46</v>
      </c>
      <c r="E14" s="80" t="s">
        <v>970</v>
      </c>
      <c r="F14" s="337">
        <v>1</v>
      </c>
      <c r="G14" s="371">
        <v>125720.65108666001</v>
      </c>
      <c r="H14" s="371">
        <v>125720.65108666001</v>
      </c>
      <c r="I14" s="441">
        <v>464536.8</v>
      </c>
      <c r="J14" s="381"/>
      <c r="K14" s="382"/>
    </row>
    <row r="15" spans="2:11" x14ac:dyDescent="0.25">
      <c r="B15" s="370"/>
      <c r="C15" s="80" t="s">
        <v>628</v>
      </c>
      <c r="D15" s="80" t="s">
        <v>46</v>
      </c>
      <c r="E15" s="80" t="s">
        <v>970</v>
      </c>
      <c r="F15" s="337">
        <v>1</v>
      </c>
      <c r="G15" s="371">
        <v>62852.596162589805</v>
      </c>
      <c r="H15" s="371">
        <v>62852.596162589805</v>
      </c>
      <c r="I15" s="441">
        <v>232239.84</v>
      </c>
      <c r="J15" s="381"/>
      <c r="K15" s="382"/>
    </row>
    <row r="16" spans="2:11" ht="25" x14ac:dyDescent="0.25">
      <c r="B16" s="369" t="s">
        <v>69</v>
      </c>
      <c r="C16" s="80" t="s">
        <v>565</v>
      </c>
      <c r="D16" s="80" t="s">
        <v>32</v>
      </c>
      <c r="E16" s="80" t="s">
        <v>970</v>
      </c>
      <c r="F16" s="337">
        <v>6</v>
      </c>
      <c r="G16" s="371">
        <v>156495.83333333334</v>
      </c>
      <c r="H16" s="371">
        <v>938975</v>
      </c>
      <c r="I16" s="441">
        <v>0</v>
      </c>
      <c r="J16" s="381"/>
      <c r="K16" s="382"/>
    </row>
    <row r="17" spans="2:11" x14ac:dyDescent="0.25">
      <c r="B17" s="369" t="s">
        <v>894</v>
      </c>
      <c r="C17" s="80" t="s">
        <v>635</v>
      </c>
      <c r="D17" s="80" t="s">
        <v>46</v>
      </c>
      <c r="E17" s="80" t="s">
        <v>970</v>
      </c>
      <c r="F17" s="337">
        <v>1</v>
      </c>
      <c r="G17" s="371">
        <v>148000.36373556426</v>
      </c>
      <c r="H17" s="371">
        <v>148000.36373556426</v>
      </c>
      <c r="I17" s="441">
        <v>27146.138613861385</v>
      </c>
      <c r="J17" s="381"/>
      <c r="K17" s="382"/>
    </row>
    <row r="18" spans="2:11" x14ac:dyDescent="0.25">
      <c r="B18" s="369" t="s">
        <v>902</v>
      </c>
      <c r="C18" s="80" t="s">
        <v>645</v>
      </c>
      <c r="D18" s="80" t="s">
        <v>46</v>
      </c>
      <c r="E18" s="80" t="s">
        <v>970</v>
      </c>
      <c r="F18" s="337">
        <v>1</v>
      </c>
      <c r="G18" s="371">
        <v>98038.555969809953</v>
      </c>
      <c r="H18" s="371">
        <v>98038.555969809953</v>
      </c>
      <c r="I18" s="441">
        <v>329409.54805856146</v>
      </c>
      <c r="J18" s="381"/>
      <c r="K18" s="382"/>
    </row>
    <row r="19" spans="2:11" x14ac:dyDescent="0.25">
      <c r="B19" s="369" t="s">
        <v>903</v>
      </c>
      <c r="C19" s="80" t="s">
        <v>646</v>
      </c>
      <c r="D19" s="80" t="s">
        <v>46</v>
      </c>
      <c r="E19" s="80" t="s">
        <v>970</v>
      </c>
      <c r="F19" s="337">
        <v>1</v>
      </c>
      <c r="G19" s="371">
        <v>95097.753932890802</v>
      </c>
      <c r="H19" s="371">
        <v>95097.753932890802</v>
      </c>
      <c r="I19" s="441">
        <v>319528.45321451308</v>
      </c>
      <c r="J19" s="381"/>
      <c r="K19" s="382"/>
    </row>
    <row r="20" spans="2:11" ht="37.5" x14ac:dyDescent="0.25">
      <c r="B20" s="369" t="s">
        <v>67</v>
      </c>
      <c r="C20" s="80" t="s">
        <v>563</v>
      </c>
      <c r="D20" s="80" t="s">
        <v>32</v>
      </c>
      <c r="E20" s="80" t="s">
        <v>970</v>
      </c>
      <c r="F20" s="337">
        <v>1</v>
      </c>
      <c r="G20" s="371">
        <v>93585</v>
      </c>
      <c r="H20" s="371">
        <v>93585</v>
      </c>
      <c r="I20" s="441">
        <v>0</v>
      </c>
      <c r="J20" s="381"/>
      <c r="K20" s="382"/>
    </row>
    <row r="21" spans="2:11" x14ac:dyDescent="0.25">
      <c r="B21" s="369" t="s">
        <v>900</v>
      </c>
      <c r="C21" s="80" t="s">
        <v>643</v>
      </c>
      <c r="D21" s="80" t="s">
        <v>46</v>
      </c>
      <c r="E21" s="80" t="s">
        <v>970</v>
      </c>
      <c r="F21" s="337">
        <v>2</v>
      </c>
      <c r="G21" s="371">
        <v>78431.39037919433</v>
      </c>
      <c r="H21" s="371">
        <v>156862.78075838866</v>
      </c>
      <c r="I21" s="441">
        <v>527058.94334818586</v>
      </c>
      <c r="J21" s="381"/>
      <c r="K21" s="382"/>
    </row>
    <row r="22" spans="2:11" x14ac:dyDescent="0.25">
      <c r="B22" s="369" t="s">
        <v>919</v>
      </c>
      <c r="C22" s="80" t="s">
        <v>670</v>
      </c>
      <c r="D22" s="80" t="s">
        <v>46</v>
      </c>
      <c r="E22" s="80" t="s">
        <v>970</v>
      </c>
      <c r="F22" s="337">
        <v>1</v>
      </c>
      <c r="G22" s="371">
        <v>32735.291443120856</v>
      </c>
      <c r="H22" s="371">
        <v>32735.291443120856</v>
      </c>
      <c r="I22" s="441">
        <v>120956.64</v>
      </c>
      <c r="J22" s="381"/>
      <c r="K22" s="382"/>
    </row>
    <row r="23" spans="2:11" x14ac:dyDescent="0.25">
      <c r="B23" s="370"/>
      <c r="C23" s="80" t="s">
        <v>673</v>
      </c>
      <c r="D23" s="80" t="s">
        <v>46</v>
      </c>
      <c r="E23" s="80" t="s">
        <v>970</v>
      </c>
      <c r="F23" s="337">
        <v>2</v>
      </c>
      <c r="G23" s="371">
        <v>32735.291443120856</v>
      </c>
      <c r="H23" s="371">
        <v>65470.582886241711</v>
      </c>
      <c r="I23" s="441">
        <v>241913.28</v>
      </c>
      <c r="J23" s="381"/>
      <c r="K23" s="382"/>
    </row>
    <row r="24" spans="2:11" x14ac:dyDescent="0.25">
      <c r="B24" s="369" t="s">
        <v>1025</v>
      </c>
      <c r="C24" s="80" t="s">
        <v>576</v>
      </c>
      <c r="D24" s="80" t="s">
        <v>42</v>
      </c>
      <c r="E24" s="80" t="s">
        <v>970</v>
      </c>
      <c r="F24" s="337">
        <v>1</v>
      </c>
      <c r="G24" s="371">
        <v>46886.423570064566</v>
      </c>
      <c r="H24" s="371">
        <v>46886.423570064566</v>
      </c>
      <c r="I24" s="441">
        <v>0</v>
      </c>
      <c r="J24" s="381"/>
      <c r="K24" s="382"/>
    </row>
    <row r="25" spans="2:11" x14ac:dyDescent="0.25">
      <c r="B25" s="369" t="s">
        <v>882</v>
      </c>
      <c r="C25" s="80" t="s">
        <v>616</v>
      </c>
      <c r="D25" s="80" t="s">
        <v>46</v>
      </c>
      <c r="E25" s="80" t="s">
        <v>970</v>
      </c>
      <c r="F25" s="337">
        <v>2</v>
      </c>
      <c r="G25" s="371">
        <v>22482.040556515414</v>
      </c>
      <c r="H25" s="371">
        <v>44964.081113030828</v>
      </c>
      <c r="I25" s="441">
        <v>166141.92000000001</v>
      </c>
      <c r="J25" s="381"/>
      <c r="K25" s="382"/>
    </row>
    <row r="26" spans="2:11" x14ac:dyDescent="0.25">
      <c r="B26" s="370"/>
      <c r="C26" s="80" t="s">
        <v>632</v>
      </c>
      <c r="D26" s="80" t="s">
        <v>46</v>
      </c>
      <c r="E26" s="80" t="s">
        <v>970</v>
      </c>
      <c r="F26" s="337">
        <v>1</v>
      </c>
      <c r="G26" s="371">
        <v>22481.585887060108</v>
      </c>
      <c r="H26" s="371">
        <v>22481.585887060108</v>
      </c>
      <c r="I26" s="441">
        <v>83069.279999999999</v>
      </c>
      <c r="J26" s="381"/>
      <c r="K26" s="382"/>
    </row>
    <row r="27" spans="2:11" x14ac:dyDescent="0.25">
      <c r="B27" s="369" t="s">
        <v>881</v>
      </c>
      <c r="C27" s="80" t="s">
        <v>615</v>
      </c>
      <c r="D27" s="80" t="s">
        <v>46</v>
      </c>
      <c r="E27" s="80" t="s">
        <v>970</v>
      </c>
      <c r="F27" s="337">
        <v>1</v>
      </c>
      <c r="G27" s="371">
        <v>21663.180867509323</v>
      </c>
      <c r="H27" s="371">
        <v>21663.180867509323</v>
      </c>
      <c r="I27" s="441">
        <v>80045.279999999999</v>
      </c>
      <c r="J27" s="381"/>
      <c r="K27" s="382"/>
    </row>
    <row r="28" spans="2:11" x14ac:dyDescent="0.25">
      <c r="B28" s="370"/>
      <c r="C28" s="80" t="s">
        <v>631</v>
      </c>
      <c r="D28" s="80" t="s">
        <v>46</v>
      </c>
      <c r="E28" s="80" t="s">
        <v>970</v>
      </c>
      <c r="F28" s="337">
        <v>1</v>
      </c>
      <c r="G28" s="371">
        <v>21663.180867509323</v>
      </c>
      <c r="H28" s="371">
        <v>21663.180867509323</v>
      </c>
      <c r="I28" s="441">
        <v>80045.279999999999</v>
      </c>
      <c r="J28" s="381"/>
      <c r="K28" s="382"/>
    </row>
    <row r="29" spans="2:11" x14ac:dyDescent="0.25">
      <c r="B29" s="369" t="s">
        <v>867</v>
      </c>
      <c r="C29" s="80" t="s">
        <v>603</v>
      </c>
      <c r="D29" s="80" t="s">
        <v>46</v>
      </c>
      <c r="E29" s="80" t="s">
        <v>1036</v>
      </c>
      <c r="F29" s="337">
        <v>1</v>
      </c>
      <c r="G29" s="371">
        <v>38614.16750022734</v>
      </c>
      <c r="H29" s="371">
        <v>38614.16750022734</v>
      </c>
      <c r="I29" s="441">
        <v>142679.04000000001</v>
      </c>
      <c r="J29" s="381"/>
      <c r="K29" s="382"/>
    </row>
    <row r="30" spans="2:11" x14ac:dyDescent="0.25">
      <c r="B30" s="369" t="s">
        <v>131</v>
      </c>
      <c r="C30" s="80" t="s">
        <v>578</v>
      </c>
      <c r="D30" s="80" t="s">
        <v>43</v>
      </c>
      <c r="E30" s="80" t="s">
        <v>970</v>
      </c>
      <c r="F30" s="337">
        <v>2</v>
      </c>
      <c r="G30" s="371">
        <v>38446.116311568287</v>
      </c>
      <c r="H30" s="371">
        <v>76892.232623136573</v>
      </c>
      <c r="I30" s="441">
        <v>0</v>
      </c>
      <c r="J30" s="381"/>
      <c r="K30" s="382"/>
    </row>
    <row r="31" spans="2:11" ht="50" x14ac:dyDescent="0.25">
      <c r="B31" s="369" t="s">
        <v>65</v>
      </c>
      <c r="C31" s="80" t="s">
        <v>561</v>
      </c>
      <c r="D31" s="80" t="s">
        <v>32</v>
      </c>
      <c r="E31" s="80" t="s">
        <v>970</v>
      </c>
      <c r="F31" s="337">
        <v>1</v>
      </c>
      <c r="G31" s="371">
        <v>36815.090661089387</v>
      </c>
      <c r="H31" s="371">
        <v>36815.090661089387</v>
      </c>
      <c r="I31" s="441">
        <v>0</v>
      </c>
      <c r="J31" s="381"/>
      <c r="K31" s="382"/>
    </row>
    <row r="32" spans="2:11" x14ac:dyDescent="0.25">
      <c r="B32" s="369" t="s">
        <v>901</v>
      </c>
      <c r="C32" s="80" t="s">
        <v>644</v>
      </c>
      <c r="D32" s="80" t="s">
        <v>46</v>
      </c>
      <c r="E32" s="80" t="s">
        <v>970</v>
      </c>
      <c r="F32" s="337">
        <v>1</v>
      </c>
      <c r="G32" s="371">
        <v>34847.685732472499</v>
      </c>
      <c r="H32" s="371">
        <v>34847.685732472499</v>
      </c>
      <c r="I32" s="441">
        <v>31887.072</v>
      </c>
      <c r="J32" s="381"/>
      <c r="K32" s="382"/>
    </row>
    <row r="33" spans="2:11" x14ac:dyDescent="0.25">
      <c r="B33" s="369" t="s">
        <v>896</v>
      </c>
      <c r="C33" s="80" t="s">
        <v>639</v>
      </c>
      <c r="D33" s="80" t="s">
        <v>46</v>
      </c>
      <c r="E33" s="80" t="s">
        <v>970</v>
      </c>
      <c r="F33" s="337">
        <v>1</v>
      </c>
      <c r="G33" s="371">
        <v>16599.072474311179</v>
      </c>
      <c r="H33" s="371">
        <v>16599.072474311179</v>
      </c>
      <c r="I33" s="441">
        <v>61333.440000000002</v>
      </c>
      <c r="J33" s="381"/>
      <c r="K33" s="382"/>
    </row>
    <row r="34" spans="2:11" x14ac:dyDescent="0.25">
      <c r="B34" s="370"/>
      <c r="C34" s="80" t="s">
        <v>649</v>
      </c>
      <c r="D34" s="80" t="s">
        <v>46</v>
      </c>
      <c r="E34" s="80" t="s">
        <v>970</v>
      </c>
      <c r="F34" s="337">
        <v>1</v>
      </c>
      <c r="G34" s="371">
        <v>16599.072474311179</v>
      </c>
      <c r="H34" s="371">
        <v>16599.072474311179</v>
      </c>
      <c r="I34" s="441">
        <v>61333.440000000002</v>
      </c>
      <c r="J34" s="381"/>
      <c r="K34" s="382"/>
    </row>
    <row r="35" spans="2:11" ht="25" x14ac:dyDescent="0.25">
      <c r="B35" s="369" t="s">
        <v>868</v>
      </c>
      <c r="C35" s="80" t="s">
        <v>604</v>
      </c>
      <c r="D35" s="80" t="s">
        <v>46</v>
      </c>
      <c r="E35" s="80" t="s">
        <v>1036</v>
      </c>
      <c r="F35" s="337">
        <v>3</v>
      </c>
      <c r="G35" s="371">
        <v>29207.965808856967</v>
      </c>
      <c r="H35" s="371">
        <v>87623.897426570897</v>
      </c>
      <c r="I35" s="441">
        <v>323769.59999999998</v>
      </c>
      <c r="J35" s="381"/>
      <c r="K35" s="382"/>
    </row>
    <row r="36" spans="2:11" x14ac:dyDescent="0.25">
      <c r="B36" s="369" t="s">
        <v>866</v>
      </c>
      <c r="C36" s="80" t="s">
        <v>602</v>
      </c>
      <c r="D36" s="80" t="s">
        <v>46</v>
      </c>
      <c r="E36" s="80" t="s">
        <v>970</v>
      </c>
      <c r="F36" s="337">
        <v>2</v>
      </c>
      <c r="G36" s="371">
        <v>27263.799217968539</v>
      </c>
      <c r="H36" s="371">
        <v>54527.598435937078</v>
      </c>
      <c r="I36" s="441">
        <v>201479.04000000001</v>
      </c>
      <c r="J36" s="381"/>
      <c r="K36" s="382"/>
    </row>
    <row r="37" spans="2:11" x14ac:dyDescent="0.25">
      <c r="B37" s="369" t="s">
        <v>905</v>
      </c>
      <c r="C37" s="80" t="s">
        <v>648</v>
      </c>
      <c r="D37" s="80" t="s">
        <v>46</v>
      </c>
      <c r="E37" s="80" t="s">
        <v>970</v>
      </c>
      <c r="F37" s="337">
        <v>1</v>
      </c>
      <c r="G37" s="371">
        <v>24707.647540238249</v>
      </c>
      <c r="H37" s="371">
        <v>24707.647540238249</v>
      </c>
      <c r="I37" s="441">
        <v>91294.56</v>
      </c>
      <c r="J37" s="381"/>
      <c r="K37" s="382"/>
    </row>
    <row r="38" spans="2:11" x14ac:dyDescent="0.25">
      <c r="B38" s="369" t="s">
        <v>880</v>
      </c>
      <c r="C38" s="80" t="s">
        <v>614</v>
      </c>
      <c r="D38" s="80" t="s">
        <v>46</v>
      </c>
      <c r="E38" s="80" t="s">
        <v>970</v>
      </c>
      <c r="F38" s="337">
        <v>2</v>
      </c>
      <c r="G38" s="371">
        <v>11704.555787942167</v>
      </c>
      <c r="H38" s="371">
        <v>23409.111575884333</v>
      </c>
      <c r="I38" s="441">
        <v>86496.48</v>
      </c>
      <c r="J38" s="381"/>
      <c r="K38" s="382"/>
    </row>
    <row r="39" spans="2:11" x14ac:dyDescent="0.25">
      <c r="B39" s="370"/>
      <c r="C39" s="80" t="s">
        <v>630</v>
      </c>
      <c r="D39" s="80" t="s">
        <v>46</v>
      </c>
      <c r="E39" s="80" t="s">
        <v>970</v>
      </c>
      <c r="F39" s="337">
        <v>1</v>
      </c>
      <c r="G39" s="371">
        <v>11705.010457397473</v>
      </c>
      <c r="H39" s="371">
        <v>11705.010457397473</v>
      </c>
      <c r="I39" s="441">
        <v>43249.919999999998</v>
      </c>
      <c r="J39" s="381"/>
      <c r="K39" s="382"/>
    </row>
    <row r="40" spans="2:11" ht="25" x14ac:dyDescent="0.25">
      <c r="B40" s="369" t="s">
        <v>870</v>
      </c>
      <c r="C40" s="80" t="s">
        <v>606</v>
      </c>
      <c r="D40" s="80" t="s">
        <v>46</v>
      </c>
      <c r="E40" s="80" t="s">
        <v>1036</v>
      </c>
      <c r="F40" s="337">
        <v>1</v>
      </c>
      <c r="G40" s="371">
        <v>22540.692916249889</v>
      </c>
      <c r="H40" s="371">
        <v>22540.692916249889</v>
      </c>
      <c r="I40" s="441">
        <v>83287.679999999993</v>
      </c>
      <c r="J40" s="381"/>
      <c r="K40" s="382"/>
    </row>
    <row r="41" spans="2:11" x14ac:dyDescent="0.25">
      <c r="B41" s="369" t="s">
        <v>920</v>
      </c>
      <c r="C41" s="80" t="s">
        <v>671</v>
      </c>
      <c r="D41" s="80" t="s">
        <v>46</v>
      </c>
      <c r="E41" s="80" t="s">
        <v>970</v>
      </c>
      <c r="F41" s="337">
        <v>2</v>
      </c>
      <c r="G41" s="371">
        <v>10450.577430208239</v>
      </c>
      <c r="H41" s="371">
        <v>20901.154860416478</v>
      </c>
      <c r="I41" s="441">
        <v>77229.600000000006</v>
      </c>
      <c r="J41" s="381"/>
      <c r="K41" s="382"/>
    </row>
    <row r="42" spans="2:11" x14ac:dyDescent="0.25">
      <c r="B42" s="370"/>
      <c r="C42" s="80" t="s">
        <v>674</v>
      </c>
      <c r="D42" s="80" t="s">
        <v>46</v>
      </c>
      <c r="E42" s="80" t="s">
        <v>970</v>
      </c>
      <c r="F42" s="337">
        <v>4</v>
      </c>
      <c r="G42" s="371">
        <v>10378.284986814586</v>
      </c>
      <c r="H42" s="371">
        <v>41513.139947258343</v>
      </c>
      <c r="I42" s="441">
        <v>153390.72</v>
      </c>
      <c r="J42" s="381"/>
      <c r="K42" s="382"/>
    </row>
    <row r="43" spans="2:11" ht="25" x14ac:dyDescent="0.25">
      <c r="B43" s="369" t="s">
        <v>869</v>
      </c>
      <c r="C43" s="80" t="s">
        <v>605</v>
      </c>
      <c r="D43" s="80" t="s">
        <v>46</v>
      </c>
      <c r="E43" s="80" t="s">
        <v>1036</v>
      </c>
      <c r="F43" s="337">
        <v>1</v>
      </c>
      <c r="G43" s="371">
        <v>20395.562426116216</v>
      </c>
      <c r="H43" s="371">
        <v>20395.562426116216</v>
      </c>
      <c r="I43" s="441">
        <v>75361.440000000002</v>
      </c>
      <c r="J43" s="381"/>
      <c r="K43" s="382"/>
    </row>
    <row r="44" spans="2:11" ht="37.5" x14ac:dyDescent="0.25">
      <c r="B44" s="369" t="s">
        <v>1749</v>
      </c>
      <c r="C44" s="80" t="s">
        <v>567</v>
      </c>
      <c r="D44" s="80" t="s">
        <v>35</v>
      </c>
      <c r="E44" s="80" t="s">
        <v>970</v>
      </c>
      <c r="F44" s="337">
        <v>1</v>
      </c>
      <c r="G44" s="371">
        <v>19301.627716649997</v>
      </c>
      <c r="H44" s="371">
        <v>19301.627716649997</v>
      </c>
      <c r="I44" s="441">
        <v>0</v>
      </c>
      <c r="J44" s="381"/>
      <c r="K44" s="382"/>
    </row>
    <row r="45" spans="2:11" ht="25" x14ac:dyDescent="0.25">
      <c r="B45" s="369" t="s">
        <v>871</v>
      </c>
      <c r="C45" s="80" t="s">
        <v>607</v>
      </c>
      <c r="D45" s="80" t="s">
        <v>46</v>
      </c>
      <c r="E45" s="80" t="s">
        <v>970</v>
      </c>
      <c r="F45" s="337">
        <v>3</v>
      </c>
      <c r="G45" s="371">
        <v>16937.346549058835</v>
      </c>
      <c r="H45" s="371">
        <v>50812.039647176505</v>
      </c>
      <c r="I45" s="441">
        <v>187750.08</v>
      </c>
      <c r="J45" s="381"/>
      <c r="K45" s="382"/>
    </row>
    <row r="46" spans="2:11" x14ac:dyDescent="0.25">
      <c r="B46" s="369" t="s">
        <v>876</v>
      </c>
      <c r="C46" s="80" t="s">
        <v>610</v>
      </c>
      <c r="D46" s="80" t="s">
        <v>46</v>
      </c>
      <c r="E46" s="80" t="s">
        <v>970</v>
      </c>
      <c r="F46" s="337">
        <v>1</v>
      </c>
      <c r="G46" s="371">
        <v>8408.656906429027</v>
      </c>
      <c r="H46" s="371">
        <v>8408.656906429027</v>
      </c>
      <c r="I46" s="441">
        <v>31069.919999999998</v>
      </c>
      <c r="J46" s="381"/>
      <c r="K46" s="382"/>
    </row>
    <row r="47" spans="2:11" x14ac:dyDescent="0.25">
      <c r="B47" s="370"/>
      <c r="C47" s="80" t="s">
        <v>627</v>
      </c>
      <c r="D47" s="80" t="s">
        <v>46</v>
      </c>
      <c r="E47" s="80" t="s">
        <v>970</v>
      </c>
      <c r="F47" s="337">
        <v>1</v>
      </c>
      <c r="G47" s="371">
        <v>8408.656906429027</v>
      </c>
      <c r="H47" s="371">
        <v>8408.656906429027</v>
      </c>
      <c r="I47" s="441">
        <v>31069.919999999998</v>
      </c>
      <c r="J47" s="381"/>
      <c r="K47" s="382"/>
    </row>
    <row r="48" spans="2:11" x14ac:dyDescent="0.25">
      <c r="B48" s="369" t="s">
        <v>1074</v>
      </c>
      <c r="C48" s="80" t="s">
        <v>557</v>
      </c>
      <c r="D48" s="80" t="s">
        <v>26</v>
      </c>
      <c r="E48" s="80" t="s">
        <v>970</v>
      </c>
      <c r="F48" s="337">
        <v>3</v>
      </c>
      <c r="G48" s="371">
        <v>14867.691188505958</v>
      </c>
      <c r="H48" s="371">
        <v>44603.073565517872</v>
      </c>
      <c r="I48" s="441">
        <v>0</v>
      </c>
      <c r="J48" s="381"/>
      <c r="K48" s="382"/>
    </row>
    <row r="49" spans="2:11" x14ac:dyDescent="0.25">
      <c r="B49" s="369" t="s">
        <v>70</v>
      </c>
      <c r="C49" s="80" t="s">
        <v>566</v>
      </c>
      <c r="D49" s="80" t="s">
        <v>32</v>
      </c>
      <c r="E49" s="80" t="s">
        <v>970</v>
      </c>
      <c r="F49" s="337">
        <v>2</v>
      </c>
      <c r="G49" s="371">
        <v>13660.5</v>
      </c>
      <c r="H49" s="371">
        <v>27321</v>
      </c>
      <c r="I49" s="441">
        <v>100950.87643199999</v>
      </c>
      <c r="J49" s="381"/>
      <c r="K49" s="382"/>
    </row>
    <row r="50" spans="2:11" x14ac:dyDescent="0.25">
      <c r="B50" s="369" t="s">
        <v>878</v>
      </c>
      <c r="C50" s="80" t="s">
        <v>612</v>
      </c>
      <c r="D50" s="80" t="s">
        <v>46</v>
      </c>
      <c r="E50" s="80" t="s">
        <v>970</v>
      </c>
      <c r="F50" s="337">
        <v>1</v>
      </c>
      <c r="G50" s="371">
        <v>6680.0036373556431</v>
      </c>
      <c r="H50" s="371">
        <v>6680.0036373556431</v>
      </c>
      <c r="I50" s="441">
        <v>24682.560000000001</v>
      </c>
      <c r="J50" s="381"/>
      <c r="K50" s="382"/>
    </row>
    <row r="51" spans="2:11" x14ac:dyDescent="0.25">
      <c r="B51" s="370"/>
      <c r="C51" s="80" t="s">
        <v>629</v>
      </c>
      <c r="D51" s="80" t="s">
        <v>46</v>
      </c>
      <c r="E51" s="80" t="s">
        <v>970</v>
      </c>
      <c r="F51" s="337">
        <v>1</v>
      </c>
      <c r="G51" s="371">
        <v>6680.0036373556431</v>
      </c>
      <c r="H51" s="371">
        <v>6680.0036373556431</v>
      </c>
      <c r="I51" s="441">
        <v>24682.560000000001</v>
      </c>
      <c r="J51" s="381"/>
      <c r="K51" s="382"/>
    </row>
    <row r="52" spans="2:11" ht="37.5" x14ac:dyDescent="0.25">
      <c r="B52" s="369" t="s">
        <v>861</v>
      </c>
      <c r="C52" s="80" t="s">
        <v>597</v>
      </c>
      <c r="D52" s="80" t="s">
        <v>46</v>
      </c>
      <c r="E52" s="80" t="s">
        <v>970</v>
      </c>
      <c r="F52" s="337">
        <v>4</v>
      </c>
      <c r="G52" s="371">
        <v>12276.984632172413</v>
      </c>
      <c r="H52" s="371">
        <v>49107.93852868965</v>
      </c>
      <c r="I52" s="441">
        <v>181453.44</v>
      </c>
      <c r="J52" s="381"/>
      <c r="K52" s="382"/>
    </row>
    <row r="53" spans="2:11" x14ac:dyDescent="0.25">
      <c r="B53" s="369" t="s">
        <v>884</v>
      </c>
      <c r="C53" s="80" t="s">
        <v>618</v>
      </c>
      <c r="D53" s="80" t="s">
        <v>46</v>
      </c>
      <c r="E53" s="80" t="s">
        <v>970</v>
      </c>
      <c r="F53" s="337">
        <v>2</v>
      </c>
      <c r="G53" s="371">
        <v>4615.3496408111305</v>
      </c>
      <c r="H53" s="371">
        <v>9230.699281622261</v>
      </c>
      <c r="I53" s="441">
        <v>34107.360000000001</v>
      </c>
      <c r="J53" s="381"/>
      <c r="K53" s="382"/>
    </row>
    <row r="54" spans="2:11" x14ac:dyDescent="0.25">
      <c r="B54" s="370"/>
      <c r="C54" s="80" t="s">
        <v>634</v>
      </c>
      <c r="D54" s="80" t="s">
        <v>46</v>
      </c>
      <c r="E54" s="80" t="s">
        <v>970</v>
      </c>
      <c r="F54" s="337">
        <v>2</v>
      </c>
      <c r="G54" s="371">
        <v>4615.3496408111305</v>
      </c>
      <c r="H54" s="371">
        <v>9230.699281622261</v>
      </c>
      <c r="I54" s="441">
        <v>34107.360000000001</v>
      </c>
      <c r="J54" s="381"/>
      <c r="K54" s="382"/>
    </row>
    <row r="55" spans="2:11" x14ac:dyDescent="0.25">
      <c r="B55" s="369" t="s">
        <v>904</v>
      </c>
      <c r="C55" s="80" t="s">
        <v>647</v>
      </c>
      <c r="D55" s="80" t="s">
        <v>46</v>
      </c>
      <c r="E55" s="80" t="s">
        <v>970</v>
      </c>
      <c r="F55" s="337">
        <v>1</v>
      </c>
      <c r="G55" s="371">
        <v>8435.9370737473855</v>
      </c>
      <c r="H55" s="371">
        <v>8435.9370737473855</v>
      </c>
      <c r="I55" s="441">
        <v>31170.720000000001</v>
      </c>
      <c r="J55" s="381"/>
      <c r="K55" s="382"/>
    </row>
    <row r="56" spans="2:11" x14ac:dyDescent="0.25">
      <c r="B56" s="369" t="s">
        <v>911</v>
      </c>
      <c r="C56" s="80" t="s">
        <v>656</v>
      </c>
      <c r="D56" s="80" t="s">
        <v>46</v>
      </c>
      <c r="E56" s="80" t="s">
        <v>970</v>
      </c>
      <c r="F56" s="337">
        <v>1</v>
      </c>
      <c r="G56" s="371">
        <v>3744.6576339001549</v>
      </c>
      <c r="H56" s="371">
        <v>3744.6576339001549</v>
      </c>
      <c r="I56" s="441">
        <v>13836.48</v>
      </c>
      <c r="J56" s="381"/>
      <c r="K56" s="382"/>
    </row>
    <row r="57" spans="2:11" x14ac:dyDescent="0.25">
      <c r="B57" s="370"/>
      <c r="C57" s="80" t="s">
        <v>662</v>
      </c>
      <c r="D57" s="80" t="s">
        <v>46</v>
      </c>
      <c r="E57" s="80" t="s">
        <v>970</v>
      </c>
      <c r="F57" s="337">
        <v>1</v>
      </c>
      <c r="G57" s="371">
        <v>3744.6576339001549</v>
      </c>
      <c r="H57" s="371">
        <v>3744.6576339001549</v>
      </c>
      <c r="I57" s="441">
        <v>13836.48</v>
      </c>
      <c r="J57" s="381"/>
      <c r="K57" s="382"/>
    </row>
    <row r="58" spans="2:11" x14ac:dyDescent="0.25">
      <c r="B58" s="369" t="s">
        <v>885</v>
      </c>
      <c r="C58" s="80" t="s">
        <v>619</v>
      </c>
      <c r="D58" s="80" t="s">
        <v>46</v>
      </c>
      <c r="E58" s="80" t="s">
        <v>970</v>
      </c>
      <c r="F58" s="337">
        <v>1</v>
      </c>
      <c r="G58" s="371">
        <v>5851.5958897881246</v>
      </c>
      <c r="H58" s="371">
        <v>5851.5958897881246</v>
      </c>
      <c r="I58" s="441">
        <v>21621.599999999999</v>
      </c>
      <c r="J58" s="381"/>
      <c r="K58" s="382"/>
    </row>
    <row r="59" spans="2:11" x14ac:dyDescent="0.25">
      <c r="B59" s="369" t="s">
        <v>879</v>
      </c>
      <c r="C59" s="80" t="s">
        <v>613</v>
      </c>
      <c r="D59" s="80" t="s">
        <v>46</v>
      </c>
      <c r="E59" s="80" t="s">
        <v>970</v>
      </c>
      <c r="F59" s="337">
        <v>1</v>
      </c>
      <c r="G59" s="371">
        <v>5444.2120578339554</v>
      </c>
      <c r="H59" s="371">
        <v>5444.2120578339554</v>
      </c>
      <c r="I59" s="441">
        <v>20116.32</v>
      </c>
      <c r="J59" s="381"/>
      <c r="K59" s="382"/>
    </row>
    <row r="60" spans="2:11" x14ac:dyDescent="0.25">
      <c r="B60" s="369" t="s">
        <v>908</v>
      </c>
      <c r="C60" s="80" t="s">
        <v>654</v>
      </c>
      <c r="D60" s="80" t="s">
        <v>46</v>
      </c>
      <c r="E60" s="80" t="s">
        <v>970</v>
      </c>
      <c r="F60" s="337">
        <v>2</v>
      </c>
      <c r="G60" s="371">
        <v>5355.0968445939807</v>
      </c>
      <c r="H60" s="371">
        <v>10710.193689187961</v>
      </c>
      <c r="I60" s="441">
        <v>39574.080000000002</v>
      </c>
      <c r="J60" s="381"/>
      <c r="K60" s="382"/>
    </row>
    <row r="61" spans="2:11" x14ac:dyDescent="0.25">
      <c r="B61" s="369" t="s">
        <v>916</v>
      </c>
      <c r="C61" s="80" t="s">
        <v>661</v>
      </c>
      <c r="D61" s="80" t="s">
        <v>46</v>
      </c>
      <c r="E61" s="80" t="s">
        <v>970</v>
      </c>
      <c r="F61" s="337">
        <v>45</v>
      </c>
      <c r="G61" s="371">
        <v>1764.7035049963122</v>
      </c>
      <c r="H61" s="371">
        <v>79411.657724834047</v>
      </c>
      <c r="I61" s="441">
        <v>293425.44</v>
      </c>
      <c r="J61" s="381"/>
      <c r="K61" s="382"/>
    </row>
    <row r="62" spans="2:11" x14ac:dyDescent="0.25">
      <c r="B62" s="370"/>
      <c r="C62" s="80" t="s">
        <v>668</v>
      </c>
      <c r="D62" s="80" t="s">
        <v>46</v>
      </c>
      <c r="E62" s="80" t="s">
        <v>970</v>
      </c>
      <c r="F62" s="337">
        <v>3</v>
      </c>
      <c r="G62" s="371">
        <v>3217.5441787154073</v>
      </c>
      <c r="H62" s="371">
        <v>9652.6325361462223</v>
      </c>
      <c r="I62" s="441">
        <v>35666.400000000001</v>
      </c>
      <c r="J62" s="381"/>
      <c r="K62" s="382"/>
    </row>
    <row r="63" spans="2:11" x14ac:dyDescent="0.25">
      <c r="B63" s="369" t="s">
        <v>914</v>
      </c>
      <c r="C63" s="80" t="s">
        <v>659</v>
      </c>
      <c r="D63" s="80" t="s">
        <v>46</v>
      </c>
      <c r="E63" s="80" t="s">
        <v>970</v>
      </c>
      <c r="F63" s="337">
        <v>2</v>
      </c>
      <c r="G63" s="371">
        <v>2442.4843139037921</v>
      </c>
      <c r="H63" s="371">
        <v>4884.9686278075842</v>
      </c>
      <c r="I63" s="441">
        <v>18049.919999999998</v>
      </c>
      <c r="J63" s="381"/>
      <c r="K63" s="382"/>
    </row>
    <row r="64" spans="2:11" x14ac:dyDescent="0.25">
      <c r="B64" s="370"/>
      <c r="C64" s="80" t="s">
        <v>666</v>
      </c>
      <c r="D64" s="80" t="s">
        <v>46</v>
      </c>
      <c r="E64" s="80" t="s">
        <v>970</v>
      </c>
      <c r="F64" s="337">
        <v>2</v>
      </c>
      <c r="G64" s="371">
        <v>2442.4843139037921</v>
      </c>
      <c r="H64" s="371">
        <v>4884.9686278075842</v>
      </c>
      <c r="I64" s="441">
        <v>18049.919999999998</v>
      </c>
      <c r="J64" s="381"/>
      <c r="K64" s="382"/>
    </row>
    <row r="65" spans="2:11" x14ac:dyDescent="0.25">
      <c r="B65" s="369" t="s">
        <v>886</v>
      </c>
      <c r="C65" s="80" t="s">
        <v>620</v>
      </c>
      <c r="D65" s="80" t="s">
        <v>46</v>
      </c>
      <c r="E65" s="80" t="s">
        <v>970</v>
      </c>
      <c r="F65" s="337">
        <v>1</v>
      </c>
      <c r="G65" s="371">
        <v>4371.1921433118123</v>
      </c>
      <c r="H65" s="371">
        <v>4371.1921433118123</v>
      </c>
      <c r="I65" s="441">
        <v>16151.52</v>
      </c>
      <c r="J65" s="381"/>
      <c r="K65" s="382"/>
    </row>
    <row r="66" spans="2:11" x14ac:dyDescent="0.25">
      <c r="B66" s="369" t="s">
        <v>887</v>
      </c>
      <c r="C66" s="80" t="s">
        <v>621</v>
      </c>
      <c r="D66" s="80" t="s">
        <v>46</v>
      </c>
      <c r="E66" s="80" t="s">
        <v>970</v>
      </c>
      <c r="F66" s="337">
        <v>1</v>
      </c>
      <c r="G66" s="371">
        <v>4182.9589888151322</v>
      </c>
      <c r="H66" s="371">
        <v>4182.9589888151322</v>
      </c>
      <c r="I66" s="441">
        <v>15456</v>
      </c>
      <c r="J66" s="381"/>
      <c r="K66" s="382"/>
    </row>
    <row r="67" spans="2:11" x14ac:dyDescent="0.25">
      <c r="B67" s="369" t="s">
        <v>897</v>
      </c>
      <c r="C67" s="80" t="s">
        <v>640</v>
      </c>
      <c r="D67" s="80" t="s">
        <v>46</v>
      </c>
      <c r="E67" s="80" t="s">
        <v>970</v>
      </c>
      <c r="F67" s="337">
        <v>1</v>
      </c>
      <c r="G67" s="371">
        <v>2062.3806492679823</v>
      </c>
      <c r="H67" s="371">
        <v>2062.3806492679823</v>
      </c>
      <c r="I67" s="441">
        <v>7620.48</v>
      </c>
      <c r="J67" s="381"/>
      <c r="K67" s="382"/>
    </row>
    <row r="68" spans="2:11" x14ac:dyDescent="0.25">
      <c r="B68" s="370"/>
      <c r="C68" s="80" t="s">
        <v>650</v>
      </c>
      <c r="D68" s="80" t="s">
        <v>46</v>
      </c>
      <c r="E68" s="80" t="s">
        <v>970</v>
      </c>
      <c r="F68" s="337">
        <v>1</v>
      </c>
      <c r="G68" s="371">
        <v>2062.3806492679823</v>
      </c>
      <c r="H68" s="371">
        <v>2062.3806492679823</v>
      </c>
      <c r="I68" s="441">
        <v>7620.48</v>
      </c>
      <c r="J68" s="381"/>
      <c r="K68" s="382"/>
    </row>
    <row r="69" spans="2:11" x14ac:dyDescent="0.25">
      <c r="B69" s="369" t="s">
        <v>889</v>
      </c>
      <c r="C69" s="80" t="s">
        <v>623</v>
      </c>
      <c r="D69" s="80" t="s">
        <v>46</v>
      </c>
      <c r="E69" s="80" t="s">
        <v>970</v>
      </c>
      <c r="F69" s="337">
        <v>1</v>
      </c>
      <c r="G69" s="371">
        <v>2020.551059379831</v>
      </c>
      <c r="H69" s="371">
        <v>2020.551059379831</v>
      </c>
      <c r="I69" s="441">
        <v>7465.92</v>
      </c>
      <c r="J69" s="381"/>
      <c r="K69" s="382"/>
    </row>
    <row r="70" spans="2:11" x14ac:dyDescent="0.25">
      <c r="B70" s="370"/>
      <c r="C70" s="80" t="s">
        <v>637</v>
      </c>
      <c r="D70" s="80" t="s">
        <v>46</v>
      </c>
      <c r="E70" s="80" t="s">
        <v>970</v>
      </c>
      <c r="F70" s="337">
        <v>1</v>
      </c>
      <c r="G70" s="371">
        <v>2020.551059379831</v>
      </c>
      <c r="H70" s="371">
        <v>2020.551059379831</v>
      </c>
      <c r="I70" s="441">
        <v>7465.92</v>
      </c>
      <c r="J70" s="381"/>
      <c r="K70" s="382"/>
    </row>
    <row r="71" spans="2:11" x14ac:dyDescent="0.25">
      <c r="B71" s="369" t="s">
        <v>915</v>
      </c>
      <c r="C71" s="80" t="s">
        <v>660</v>
      </c>
      <c r="D71" s="80" t="s">
        <v>46</v>
      </c>
      <c r="E71" s="80" t="s">
        <v>970</v>
      </c>
      <c r="F71" s="337">
        <v>1</v>
      </c>
      <c r="G71" s="371">
        <v>1983.2681640447397</v>
      </c>
      <c r="H71" s="371">
        <v>1983.2681640447397</v>
      </c>
      <c r="I71" s="441">
        <v>7328.16</v>
      </c>
      <c r="J71" s="381"/>
      <c r="K71" s="382"/>
    </row>
    <row r="72" spans="2:11" x14ac:dyDescent="0.25">
      <c r="B72" s="370"/>
      <c r="C72" s="80" t="s">
        <v>667</v>
      </c>
      <c r="D72" s="80" t="s">
        <v>46</v>
      </c>
      <c r="E72" s="80" t="s">
        <v>970</v>
      </c>
      <c r="F72" s="337">
        <v>1</v>
      </c>
      <c r="G72" s="371">
        <v>1983.2681640447397</v>
      </c>
      <c r="H72" s="371">
        <v>1983.2681640447397</v>
      </c>
      <c r="I72" s="441">
        <v>7328.16</v>
      </c>
      <c r="J72" s="381"/>
      <c r="K72" s="382"/>
    </row>
    <row r="73" spans="2:11" x14ac:dyDescent="0.25">
      <c r="B73" s="369" t="s">
        <v>818</v>
      </c>
      <c r="C73" s="80" t="s">
        <v>679</v>
      </c>
      <c r="D73" s="80" t="s">
        <v>56</v>
      </c>
      <c r="E73" s="80" t="s">
        <v>970</v>
      </c>
      <c r="F73" s="337">
        <v>1</v>
      </c>
      <c r="G73" s="371">
        <v>3665.9433281804131</v>
      </c>
      <c r="H73" s="371">
        <v>3665.9433281804131</v>
      </c>
      <c r="I73" s="441">
        <v>13545.631270079999</v>
      </c>
      <c r="J73" s="381"/>
      <c r="K73" s="382"/>
    </row>
    <row r="74" spans="2:11" x14ac:dyDescent="0.25">
      <c r="B74" s="369" t="s">
        <v>136</v>
      </c>
      <c r="C74" s="80" t="s">
        <v>582</v>
      </c>
      <c r="D74" s="80" t="s">
        <v>43</v>
      </c>
      <c r="E74" s="80" t="s">
        <v>970</v>
      </c>
      <c r="F74" s="337">
        <v>1</v>
      </c>
      <c r="G74" s="371">
        <v>3595.3849600461799</v>
      </c>
      <c r="H74" s="371">
        <v>3595.3849600461799</v>
      </c>
      <c r="I74" s="441">
        <v>0</v>
      </c>
      <c r="J74" s="381"/>
      <c r="K74" s="382"/>
    </row>
    <row r="75" spans="2:11" ht="25" x14ac:dyDescent="0.25">
      <c r="B75" s="369" t="s">
        <v>860</v>
      </c>
      <c r="C75" s="80" t="s">
        <v>596</v>
      </c>
      <c r="D75" s="80" t="s">
        <v>46</v>
      </c>
      <c r="E75" s="80" t="s">
        <v>970</v>
      </c>
      <c r="F75" s="337">
        <v>3</v>
      </c>
      <c r="G75" s="371">
        <v>3210.5725804007157</v>
      </c>
      <c r="H75" s="371">
        <v>9631.7177412021465</v>
      </c>
      <c r="I75" s="441">
        <v>35589.120000000003</v>
      </c>
      <c r="J75" s="381"/>
      <c r="K75" s="382"/>
    </row>
    <row r="76" spans="2:11" x14ac:dyDescent="0.25">
      <c r="B76" s="369" t="s">
        <v>817</v>
      </c>
      <c r="C76" s="80" t="s">
        <v>678</v>
      </c>
      <c r="D76" s="80" t="s">
        <v>56</v>
      </c>
      <c r="E76" s="80" t="s">
        <v>970</v>
      </c>
      <c r="F76" s="337">
        <v>1</v>
      </c>
      <c r="G76" s="371">
        <v>3159.9511503137219</v>
      </c>
      <c r="H76" s="371">
        <v>3159.9511503137219</v>
      </c>
      <c r="I76" s="441">
        <v>11675.994220799999</v>
      </c>
      <c r="J76" s="381"/>
      <c r="K76" s="382"/>
    </row>
    <row r="77" spans="2:11" x14ac:dyDescent="0.25">
      <c r="B77" s="369" t="s">
        <v>141</v>
      </c>
      <c r="C77" s="80" t="s">
        <v>587</v>
      </c>
      <c r="D77" s="80" t="s">
        <v>43</v>
      </c>
      <c r="E77" s="80" t="s">
        <v>970</v>
      </c>
      <c r="F77" s="337">
        <v>2</v>
      </c>
      <c r="G77" s="371">
        <v>2967.5017113214349</v>
      </c>
      <c r="H77" s="371">
        <v>5935.0034226428697</v>
      </c>
      <c r="I77" s="441">
        <v>0</v>
      </c>
      <c r="J77" s="381"/>
      <c r="K77" s="382"/>
    </row>
    <row r="78" spans="2:11" x14ac:dyDescent="0.25">
      <c r="B78" s="369" t="s">
        <v>899</v>
      </c>
      <c r="C78" s="80" t="s">
        <v>642</v>
      </c>
      <c r="D78" s="80" t="s">
        <v>46</v>
      </c>
      <c r="E78" s="80" t="s">
        <v>970</v>
      </c>
      <c r="F78" s="337">
        <v>3</v>
      </c>
      <c r="G78" s="371">
        <v>1482.52553726774</v>
      </c>
      <c r="H78" s="371">
        <v>4447.5766118032197</v>
      </c>
      <c r="I78" s="441">
        <v>16433.759999999998</v>
      </c>
      <c r="J78" s="381"/>
      <c r="K78" s="382"/>
    </row>
    <row r="79" spans="2:11" x14ac:dyDescent="0.25">
      <c r="B79" s="370"/>
      <c r="C79" s="80" t="s">
        <v>652</v>
      </c>
      <c r="D79" s="80" t="s">
        <v>46</v>
      </c>
      <c r="E79" s="80" t="s">
        <v>970</v>
      </c>
      <c r="F79" s="337">
        <v>6</v>
      </c>
      <c r="G79" s="371">
        <v>1482.828650237944</v>
      </c>
      <c r="H79" s="371">
        <v>8896.9719014276634</v>
      </c>
      <c r="I79" s="441">
        <v>32874.239999999998</v>
      </c>
      <c r="J79" s="381"/>
      <c r="K79" s="382"/>
    </row>
    <row r="80" spans="2:11" x14ac:dyDescent="0.25">
      <c r="B80" s="369" t="s">
        <v>913</v>
      </c>
      <c r="C80" s="80" t="s">
        <v>658</v>
      </c>
      <c r="D80" s="80" t="s">
        <v>46</v>
      </c>
      <c r="E80" s="80" t="s">
        <v>970</v>
      </c>
      <c r="F80" s="337">
        <v>1</v>
      </c>
      <c r="G80" s="371">
        <v>709.28435027734838</v>
      </c>
      <c r="H80" s="371">
        <v>709.28435027734838</v>
      </c>
      <c r="I80" s="441">
        <v>2620.8000000000002</v>
      </c>
      <c r="J80" s="381"/>
      <c r="K80" s="382"/>
    </row>
    <row r="81" spans="2:11" x14ac:dyDescent="0.25">
      <c r="B81" s="370"/>
      <c r="C81" s="80" t="s">
        <v>664</v>
      </c>
      <c r="D81" s="80" t="s">
        <v>46</v>
      </c>
      <c r="E81" s="80" t="s">
        <v>970</v>
      </c>
      <c r="F81" s="337">
        <v>1</v>
      </c>
      <c r="G81" s="371">
        <v>709.28435027734838</v>
      </c>
      <c r="H81" s="371">
        <v>709.28435027734838</v>
      </c>
      <c r="I81" s="441">
        <v>2620.8000000000002</v>
      </c>
      <c r="J81" s="381"/>
      <c r="K81" s="382"/>
    </row>
    <row r="82" spans="2:11" x14ac:dyDescent="0.25">
      <c r="B82" s="370"/>
      <c r="C82" s="80" t="s">
        <v>669</v>
      </c>
      <c r="D82" s="80" t="s">
        <v>46</v>
      </c>
      <c r="E82" s="80" t="s">
        <v>970</v>
      </c>
      <c r="F82" s="337">
        <v>2</v>
      </c>
      <c r="G82" s="371">
        <v>709.28435027734838</v>
      </c>
      <c r="H82" s="371">
        <v>1418.5687005546968</v>
      </c>
      <c r="I82" s="441">
        <v>5241.6000000000004</v>
      </c>
      <c r="J82" s="381"/>
      <c r="K82" s="382"/>
    </row>
    <row r="83" spans="2:11" x14ac:dyDescent="0.25">
      <c r="B83" s="370"/>
      <c r="C83" s="80" t="s">
        <v>672</v>
      </c>
      <c r="D83" s="80" t="s">
        <v>46</v>
      </c>
      <c r="E83" s="80" t="s">
        <v>970</v>
      </c>
      <c r="F83" s="337">
        <v>2</v>
      </c>
      <c r="G83" s="371">
        <v>709.28435027734838</v>
      </c>
      <c r="H83" s="371">
        <v>1418.5687005546968</v>
      </c>
      <c r="I83" s="441">
        <v>5241.6000000000004</v>
      </c>
      <c r="J83" s="381"/>
      <c r="K83" s="382"/>
    </row>
    <row r="84" spans="2:11" x14ac:dyDescent="0.25">
      <c r="B84" s="369" t="s">
        <v>898</v>
      </c>
      <c r="C84" s="80" t="s">
        <v>641</v>
      </c>
      <c r="D84" s="80" t="s">
        <v>46</v>
      </c>
      <c r="E84" s="80" t="s">
        <v>970</v>
      </c>
      <c r="F84" s="337">
        <v>3</v>
      </c>
      <c r="G84" s="371">
        <v>1294.292382771059</v>
      </c>
      <c r="H84" s="371">
        <v>3882.8771483131768</v>
      </c>
      <c r="I84" s="441">
        <v>14347.2</v>
      </c>
      <c r="J84" s="381"/>
      <c r="K84" s="382"/>
    </row>
    <row r="85" spans="2:11" x14ac:dyDescent="0.25">
      <c r="B85" s="370"/>
      <c r="C85" s="80" t="s">
        <v>651</v>
      </c>
      <c r="D85" s="80" t="s">
        <v>46</v>
      </c>
      <c r="E85" s="80" t="s">
        <v>970</v>
      </c>
      <c r="F85" s="337">
        <v>6</v>
      </c>
      <c r="G85" s="371">
        <v>1294.443939256161</v>
      </c>
      <c r="H85" s="371">
        <v>7766.6636355369656</v>
      </c>
      <c r="I85" s="441">
        <v>28697.759999999998</v>
      </c>
      <c r="J85" s="381"/>
      <c r="K85" s="382"/>
    </row>
    <row r="86" spans="2:11" x14ac:dyDescent="0.25">
      <c r="B86" s="369" t="s">
        <v>819</v>
      </c>
      <c r="C86" s="80" t="s">
        <v>680</v>
      </c>
      <c r="D86" s="80" t="s">
        <v>56</v>
      </c>
      <c r="E86" s="80" t="s">
        <v>970</v>
      </c>
      <c r="F86" s="337">
        <v>1</v>
      </c>
      <c r="G86" s="371">
        <v>2322.964089297081</v>
      </c>
      <c r="H86" s="371">
        <v>2322.964089297081</v>
      </c>
      <c r="I86" s="441">
        <v>8583.3337262399982</v>
      </c>
      <c r="J86" s="381"/>
      <c r="K86" s="382"/>
    </row>
    <row r="87" spans="2:11" x14ac:dyDescent="0.25">
      <c r="B87" s="369" t="s">
        <v>137</v>
      </c>
      <c r="C87" s="80" t="s">
        <v>583</v>
      </c>
      <c r="D87" s="80" t="s">
        <v>43</v>
      </c>
      <c r="E87" s="80" t="s">
        <v>970</v>
      </c>
      <c r="F87" s="337">
        <v>1</v>
      </c>
      <c r="G87" s="371">
        <v>2156.8357702063231</v>
      </c>
      <c r="H87" s="371">
        <v>2156.8357702063231</v>
      </c>
      <c r="I87" s="441">
        <v>0</v>
      </c>
      <c r="J87" s="381"/>
      <c r="K87" s="382"/>
    </row>
    <row r="88" spans="2:11" x14ac:dyDescent="0.25">
      <c r="B88" s="369" t="s">
        <v>138</v>
      </c>
      <c r="C88" s="80" t="s">
        <v>584</v>
      </c>
      <c r="D88" s="80" t="s">
        <v>43</v>
      </c>
      <c r="E88" s="80" t="s">
        <v>970</v>
      </c>
      <c r="F88" s="337">
        <v>1</v>
      </c>
      <c r="G88" s="371">
        <v>2156.8357702063231</v>
      </c>
      <c r="H88" s="371">
        <v>2156.8357702063231</v>
      </c>
      <c r="I88" s="441">
        <v>0</v>
      </c>
      <c r="J88" s="381"/>
      <c r="K88" s="382"/>
    </row>
    <row r="89" spans="2:11" x14ac:dyDescent="0.25">
      <c r="B89" s="369" t="s">
        <v>809</v>
      </c>
      <c r="C89" s="80" t="s">
        <v>677</v>
      </c>
      <c r="D89" s="80" t="s">
        <v>47</v>
      </c>
      <c r="E89" s="80" t="s">
        <v>970</v>
      </c>
      <c r="F89" s="337">
        <v>2</v>
      </c>
      <c r="G89" s="371">
        <v>1956.0079689915435</v>
      </c>
      <c r="H89" s="371">
        <v>3912.015937983087</v>
      </c>
      <c r="I89" s="441">
        <v>14454.867594720001</v>
      </c>
      <c r="J89" s="381"/>
      <c r="K89" s="382"/>
    </row>
    <row r="90" spans="2:11" x14ac:dyDescent="0.25">
      <c r="B90" s="369" t="s">
        <v>865</v>
      </c>
      <c r="C90" s="80" t="s">
        <v>601</v>
      </c>
      <c r="D90" s="80" t="s">
        <v>46</v>
      </c>
      <c r="E90" s="80" t="s">
        <v>970</v>
      </c>
      <c r="F90" s="337">
        <v>2</v>
      </c>
      <c r="G90" s="371">
        <v>1756.3881058470492</v>
      </c>
      <c r="H90" s="371">
        <v>3512.7762116940985</v>
      </c>
      <c r="I90" s="441">
        <v>12979.68</v>
      </c>
      <c r="J90" s="381"/>
      <c r="K90" s="382"/>
    </row>
    <row r="91" spans="2:11" x14ac:dyDescent="0.25">
      <c r="B91" s="369" t="s">
        <v>863</v>
      </c>
      <c r="C91" s="80" t="s">
        <v>599</v>
      </c>
      <c r="D91" s="80" t="s">
        <v>46</v>
      </c>
      <c r="E91" s="80" t="s">
        <v>970</v>
      </c>
      <c r="F91" s="337">
        <v>1</v>
      </c>
      <c r="G91" s="371">
        <v>1755.9334363917433</v>
      </c>
      <c r="H91" s="371">
        <v>1755.9334363917433</v>
      </c>
      <c r="I91" s="441">
        <v>6488.16</v>
      </c>
      <c r="J91" s="381"/>
      <c r="K91" s="382"/>
    </row>
    <row r="92" spans="2:11" x14ac:dyDescent="0.25">
      <c r="B92" s="369" t="s">
        <v>864</v>
      </c>
      <c r="C92" s="80" t="s">
        <v>600</v>
      </c>
      <c r="D92" s="80" t="s">
        <v>46</v>
      </c>
      <c r="E92" s="80" t="s">
        <v>970</v>
      </c>
      <c r="F92" s="337">
        <v>2</v>
      </c>
      <c r="G92" s="371">
        <v>1622.7152859870876</v>
      </c>
      <c r="H92" s="371">
        <v>3245.4305719741751</v>
      </c>
      <c r="I92" s="441">
        <v>11991.84</v>
      </c>
      <c r="J92" s="381"/>
      <c r="K92" s="382"/>
    </row>
    <row r="93" spans="2:11" x14ac:dyDescent="0.25">
      <c r="B93" s="369" t="s">
        <v>862</v>
      </c>
      <c r="C93" s="80" t="s">
        <v>598</v>
      </c>
      <c r="D93" s="80" t="s">
        <v>46</v>
      </c>
      <c r="E93" s="80" t="s">
        <v>970</v>
      </c>
      <c r="F93" s="337">
        <v>1</v>
      </c>
      <c r="G93" s="371">
        <v>1622.2606165317816</v>
      </c>
      <c r="H93" s="371">
        <v>1622.2606165317816</v>
      </c>
      <c r="I93" s="441">
        <v>5994.24</v>
      </c>
      <c r="J93" s="381"/>
      <c r="K93" s="382"/>
    </row>
    <row r="94" spans="2:11" x14ac:dyDescent="0.25">
      <c r="B94" s="369" t="s">
        <v>135</v>
      </c>
      <c r="C94" s="80" t="s">
        <v>581</v>
      </c>
      <c r="D94" s="80" t="s">
        <v>43</v>
      </c>
      <c r="E94" s="80" t="s">
        <v>970</v>
      </c>
      <c r="F94" s="337">
        <v>3</v>
      </c>
      <c r="G94" s="371">
        <v>1286.7242867912819</v>
      </c>
      <c r="H94" s="371">
        <v>3860.1728603738457</v>
      </c>
      <c r="I94" s="441">
        <v>0</v>
      </c>
      <c r="J94" s="381"/>
      <c r="K94" s="382"/>
    </row>
    <row r="95" spans="2:11" x14ac:dyDescent="0.25">
      <c r="B95" s="369" t="s">
        <v>856</v>
      </c>
      <c r="C95" s="80" t="s">
        <v>592</v>
      </c>
      <c r="D95" s="80" t="s">
        <v>46</v>
      </c>
      <c r="E95" s="80" t="s">
        <v>970</v>
      </c>
      <c r="F95" s="337">
        <v>1</v>
      </c>
      <c r="G95" s="371">
        <v>1111.212148767846</v>
      </c>
      <c r="H95" s="371">
        <v>1111.212148767846</v>
      </c>
      <c r="I95" s="441">
        <v>4105.92</v>
      </c>
      <c r="J95" s="381"/>
      <c r="K95" s="382"/>
    </row>
    <row r="96" spans="2:11" ht="25" x14ac:dyDescent="0.25">
      <c r="B96" s="369" t="s">
        <v>133</v>
      </c>
      <c r="C96" s="80" t="s">
        <v>579</v>
      </c>
      <c r="D96" s="80" t="s">
        <v>43</v>
      </c>
      <c r="E96" s="80" t="s">
        <v>971</v>
      </c>
      <c r="F96" s="337">
        <v>0.6</v>
      </c>
      <c r="G96" s="371">
        <v>1017.6549900652832</v>
      </c>
      <c r="H96" s="371">
        <v>610.59299403916987</v>
      </c>
      <c r="I96" s="441">
        <v>0</v>
      </c>
      <c r="J96" s="381"/>
      <c r="K96" s="382"/>
    </row>
    <row r="97" spans="2:11" ht="25" x14ac:dyDescent="0.25">
      <c r="B97" s="369" t="s">
        <v>66</v>
      </c>
      <c r="C97" s="80" t="s">
        <v>562</v>
      </c>
      <c r="D97" s="80" t="s">
        <v>32</v>
      </c>
      <c r="E97" s="80" t="s">
        <v>970</v>
      </c>
      <c r="F97" s="337">
        <v>3</v>
      </c>
      <c r="G97" s="371">
        <v>1013</v>
      </c>
      <c r="H97" s="371">
        <v>3039</v>
      </c>
      <c r="I97" s="441">
        <v>0</v>
      </c>
      <c r="J97" s="381"/>
      <c r="K97" s="382"/>
    </row>
    <row r="98" spans="2:11" x14ac:dyDescent="0.25">
      <c r="B98" s="369" t="s">
        <v>139</v>
      </c>
      <c r="C98" s="80" t="s">
        <v>585</v>
      </c>
      <c r="D98" s="80" t="s">
        <v>43</v>
      </c>
      <c r="E98" s="80" t="s">
        <v>970</v>
      </c>
      <c r="F98" s="337">
        <v>1</v>
      </c>
      <c r="G98" s="371">
        <v>990.97859712182435</v>
      </c>
      <c r="H98" s="371">
        <v>990.97859712182435</v>
      </c>
      <c r="I98" s="441">
        <v>0</v>
      </c>
      <c r="J98" s="381"/>
      <c r="K98" s="382"/>
    </row>
    <row r="99" spans="2:11" x14ac:dyDescent="0.25">
      <c r="B99" s="369" t="s">
        <v>892</v>
      </c>
      <c r="C99" s="80" t="s">
        <v>626</v>
      </c>
      <c r="D99" s="80" t="s">
        <v>46</v>
      </c>
      <c r="E99" s="80" t="s">
        <v>970</v>
      </c>
      <c r="F99" s="337">
        <v>2</v>
      </c>
      <c r="G99" s="371">
        <v>941.16577248340468</v>
      </c>
      <c r="H99" s="371">
        <v>1882.3315449668094</v>
      </c>
      <c r="I99" s="441">
        <v>6955.2</v>
      </c>
      <c r="J99" s="381"/>
      <c r="K99" s="382"/>
    </row>
    <row r="100" spans="2:11" x14ac:dyDescent="0.25">
      <c r="B100" s="369" t="s">
        <v>872</v>
      </c>
      <c r="C100" s="80" t="s">
        <v>608</v>
      </c>
      <c r="D100" s="80" t="s">
        <v>46</v>
      </c>
      <c r="E100" s="80" t="s">
        <v>970</v>
      </c>
      <c r="F100" s="337">
        <v>26</v>
      </c>
      <c r="G100" s="371">
        <v>925.49716356209035</v>
      </c>
      <c r="H100" s="371">
        <v>24062.92625261435</v>
      </c>
      <c r="I100" s="441">
        <v>88912.320000000007</v>
      </c>
      <c r="J100" s="381"/>
      <c r="K100" s="382"/>
    </row>
    <row r="101" spans="2:11" x14ac:dyDescent="0.25">
      <c r="B101" s="369" t="s">
        <v>140</v>
      </c>
      <c r="C101" s="80" t="s">
        <v>586</v>
      </c>
      <c r="D101" s="80" t="s">
        <v>43</v>
      </c>
      <c r="E101" s="80" t="s">
        <v>970</v>
      </c>
      <c r="F101" s="337">
        <v>3</v>
      </c>
      <c r="G101" s="371">
        <v>898.43456728093599</v>
      </c>
      <c r="H101" s="371">
        <v>2695.3037018428081</v>
      </c>
      <c r="I101" s="441">
        <v>0</v>
      </c>
      <c r="J101" s="381"/>
      <c r="K101" s="382"/>
    </row>
    <row r="102" spans="2:11" x14ac:dyDescent="0.25">
      <c r="B102" s="369" t="s">
        <v>891</v>
      </c>
      <c r="C102" s="80" t="s">
        <v>625</v>
      </c>
      <c r="D102" s="80" t="s">
        <v>46</v>
      </c>
      <c r="E102" s="80" t="s">
        <v>970</v>
      </c>
      <c r="F102" s="337">
        <v>2</v>
      </c>
      <c r="G102" s="371">
        <v>836.59179776302631</v>
      </c>
      <c r="H102" s="371">
        <v>1673.1835955260526</v>
      </c>
      <c r="I102" s="441">
        <v>6182.4</v>
      </c>
      <c r="J102" s="381"/>
      <c r="K102" s="382"/>
    </row>
    <row r="103" spans="2:11" x14ac:dyDescent="0.25">
      <c r="B103" s="369" t="s">
        <v>808</v>
      </c>
      <c r="C103" s="80" t="s">
        <v>675</v>
      </c>
      <c r="D103" s="80" t="s">
        <v>47</v>
      </c>
      <c r="E103" s="80" t="s">
        <v>970</v>
      </c>
      <c r="F103" s="337">
        <v>2</v>
      </c>
      <c r="G103" s="371">
        <v>816.98439847231077</v>
      </c>
      <c r="H103" s="371">
        <v>1633.9687969446215</v>
      </c>
      <c r="I103" s="441">
        <v>6037.5016329600003</v>
      </c>
      <c r="J103" s="381"/>
      <c r="K103" s="382"/>
    </row>
    <row r="104" spans="2:11" x14ac:dyDescent="0.25">
      <c r="B104" s="369" t="s">
        <v>855</v>
      </c>
      <c r="C104" s="80" t="s">
        <v>591</v>
      </c>
      <c r="D104" s="80" t="s">
        <v>46</v>
      </c>
      <c r="E104" s="80" t="s">
        <v>970</v>
      </c>
      <c r="F104" s="337">
        <v>2</v>
      </c>
      <c r="G104" s="371">
        <v>811.13030826589079</v>
      </c>
      <c r="H104" s="371">
        <v>1622.2606165317816</v>
      </c>
      <c r="I104" s="441">
        <v>5994.24</v>
      </c>
      <c r="J104" s="381"/>
      <c r="K104" s="382"/>
    </row>
    <row r="105" spans="2:11" x14ac:dyDescent="0.25">
      <c r="B105" s="369" t="s">
        <v>857</v>
      </c>
      <c r="C105" s="80" t="s">
        <v>593</v>
      </c>
      <c r="D105" s="80" t="s">
        <v>46</v>
      </c>
      <c r="E105" s="80" t="s">
        <v>970</v>
      </c>
      <c r="F105" s="337">
        <v>1</v>
      </c>
      <c r="G105" s="371">
        <v>719.28707829408029</v>
      </c>
      <c r="H105" s="371">
        <v>719.28707829408029</v>
      </c>
      <c r="I105" s="441">
        <v>2657.76</v>
      </c>
      <c r="J105" s="381"/>
      <c r="K105" s="382"/>
    </row>
    <row r="106" spans="2:11" ht="25" x14ac:dyDescent="0.25">
      <c r="B106" s="369" t="s">
        <v>858</v>
      </c>
      <c r="C106" s="80" t="s">
        <v>676</v>
      </c>
      <c r="D106" s="80" t="s">
        <v>47</v>
      </c>
      <c r="E106" s="80" t="s">
        <v>970</v>
      </c>
      <c r="F106" s="337">
        <v>2</v>
      </c>
      <c r="G106" s="371">
        <v>346.9933736473584</v>
      </c>
      <c r="H106" s="371">
        <v>693.98674729471679</v>
      </c>
      <c r="I106" s="441">
        <v>2564.2754793600002</v>
      </c>
      <c r="J106" s="381"/>
      <c r="K106" s="382"/>
    </row>
    <row r="107" spans="2:11" x14ac:dyDescent="0.25">
      <c r="B107" s="370"/>
      <c r="C107" s="80" t="s">
        <v>594</v>
      </c>
      <c r="D107" s="80" t="s">
        <v>46</v>
      </c>
      <c r="E107" s="80" t="s">
        <v>970</v>
      </c>
      <c r="F107" s="337">
        <v>30</v>
      </c>
      <c r="G107" s="371">
        <v>346.79154921039077</v>
      </c>
      <c r="H107" s="371">
        <v>10403.746476311722</v>
      </c>
      <c r="I107" s="441">
        <v>38441.760000000002</v>
      </c>
      <c r="J107" s="381"/>
      <c r="K107" s="382"/>
    </row>
    <row r="108" spans="2:11" x14ac:dyDescent="0.25">
      <c r="B108" s="369" t="s">
        <v>873</v>
      </c>
      <c r="C108" s="80" t="s">
        <v>609</v>
      </c>
      <c r="D108" s="80" t="s">
        <v>46</v>
      </c>
      <c r="E108" s="80" t="s">
        <v>970</v>
      </c>
      <c r="F108" s="337">
        <v>2</v>
      </c>
      <c r="G108" s="371">
        <v>686.55087751204883</v>
      </c>
      <c r="H108" s="371">
        <v>1373.1017550240977</v>
      </c>
      <c r="I108" s="441">
        <v>5073.6000000000004</v>
      </c>
      <c r="J108" s="381"/>
      <c r="K108" s="382"/>
    </row>
    <row r="109" spans="2:11" x14ac:dyDescent="0.25">
      <c r="B109" s="369" t="s">
        <v>912</v>
      </c>
      <c r="C109" s="80" t="s">
        <v>657</v>
      </c>
      <c r="D109" s="80" t="s">
        <v>46</v>
      </c>
      <c r="E109" s="80" t="s">
        <v>970</v>
      </c>
      <c r="F109" s="337">
        <v>1</v>
      </c>
      <c r="G109" s="371">
        <v>334.63671910521055</v>
      </c>
      <c r="H109" s="371">
        <v>334.63671910521055</v>
      </c>
      <c r="I109" s="441">
        <v>1236.48</v>
      </c>
      <c r="J109" s="381"/>
      <c r="K109" s="382"/>
    </row>
    <row r="110" spans="2:11" x14ac:dyDescent="0.25">
      <c r="B110" s="370"/>
      <c r="C110" s="80" t="s">
        <v>663</v>
      </c>
      <c r="D110" s="80" t="s">
        <v>46</v>
      </c>
      <c r="E110" s="80" t="s">
        <v>970</v>
      </c>
      <c r="F110" s="337">
        <v>1</v>
      </c>
      <c r="G110" s="371">
        <v>334.63671910521055</v>
      </c>
      <c r="H110" s="371">
        <v>334.63671910521055</v>
      </c>
      <c r="I110" s="441">
        <v>1236.48</v>
      </c>
      <c r="J110" s="381"/>
      <c r="K110" s="382"/>
    </row>
    <row r="111" spans="2:11" x14ac:dyDescent="0.25">
      <c r="B111" s="369" t="s">
        <v>143</v>
      </c>
      <c r="C111" s="80" t="s">
        <v>589</v>
      </c>
      <c r="D111" s="80" t="s">
        <v>43</v>
      </c>
      <c r="E111" s="80" t="s">
        <v>970</v>
      </c>
      <c r="F111" s="337">
        <v>3</v>
      </c>
      <c r="G111" s="371">
        <v>656.70033986737042</v>
      </c>
      <c r="H111" s="371">
        <v>1970.1010196021111</v>
      </c>
      <c r="I111" s="441">
        <v>0</v>
      </c>
      <c r="J111" s="381"/>
      <c r="K111" s="382"/>
    </row>
    <row r="112" spans="2:11" x14ac:dyDescent="0.25">
      <c r="B112" s="369" t="s">
        <v>134</v>
      </c>
      <c r="C112" s="80" t="s">
        <v>580</v>
      </c>
      <c r="D112" s="80" t="s">
        <v>43</v>
      </c>
      <c r="E112" s="80" t="s">
        <v>970</v>
      </c>
      <c r="F112" s="337">
        <v>1</v>
      </c>
      <c r="G112" s="371">
        <v>612.56902314609283</v>
      </c>
      <c r="H112" s="371">
        <v>612.56902314609283</v>
      </c>
      <c r="I112" s="441">
        <v>0</v>
      </c>
      <c r="J112" s="381"/>
      <c r="K112" s="382"/>
    </row>
    <row r="113" spans="2:11" x14ac:dyDescent="0.25">
      <c r="B113" s="369" t="s">
        <v>888</v>
      </c>
      <c r="C113" s="80" t="s">
        <v>622</v>
      </c>
      <c r="D113" s="80" t="s">
        <v>46</v>
      </c>
      <c r="E113" s="80" t="s">
        <v>970</v>
      </c>
      <c r="F113" s="337">
        <v>3</v>
      </c>
      <c r="G113" s="371">
        <v>230.06274438483226</v>
      </c>
      <c r="H113" s="371">
        <v>690.18823315449674</v>
      </c>
      <c r="I113" s="441">
        <v>2550.2399999999998</v>
      </c>
      <c r="J113" s="381"/>
      <c r="K113" s="382"/>
    </row>
    <row r="114" spans="2:11" x14ac:dyDescent="0.25">
      <c r="B114" s="370"/>
      <c r="C114" s="80" t="s">
        <v>636</v>
      </c>
      <c r="D114" s="80" t="s">
        <v>46</v>
      </c>
      <c r="E114" s="80" t="s">
        <v>970</v>
      </c>
      <c r="F114" s="337">
        <v>3</v>
      </c>
      <c r="G114" s="371">
        <v>230.06274438483226</v>
      </c>
      <c r="H114" s="371">
        <v>690.18823315449674</v>
      </c>
      <c r="I114" s="441">
        <v>2550.2399999999998</v>
      </c>
      <c r="J114" s="381"/>
      <c r="K114" s="382"/>
    </row>
    <row r="115" spans="2:11" x14ac:dyDescent="0.25">
      <c r="B115" s="369" t="s">
        <v>890</v>
      </c>
      <c r="C115" s="80" t="s">
        <v>624</v>
      </c>
      <c r="D115" s="80" t="s">
        <v>46</v>
      </c>
      <c r="E115" s="80" t="s">
        <v>970</v>
      </c>
      <c r="F115" s="337">
        <v>10</v>
      </c>
      <c r="G115" s="371">
        <v>219.42347913067201</v>
      </c>
      <c r="H115" s="371">
        <v>2194.2347913067201</v>
      </c>
      <c r="I115" s="441">
        <v>8107.68</v>
      </c>
      <c r="J115" s="381"/>
      <c r="K115" s="382"/>
    </row>
    <row r="116" spans="2:11" x14ac:dyDescent="0.25">
      <c r="B116" s="370"/>
      <c r="C116" s="80" t="s">
        <v>638</v>
      </c>
      <c r="D116" s="80" t="s">
        <v>46</v>
      </c>
      <c r="E116" s="80" t="s">
        <v>970</v>
      </c>
      <c r="F116" s="337">
        <v>5</v>
      </c>
      <c r="G116" s="371">
        <v>219.33254523961082</v>
      </c>
      <c r="H116" s="371">
        <v>1096.6627261980541</v>
      </c>
      <c r="I116" s="441">
        <v>4052.16</v>
      </c>
      <c r="J116" s="381"/>
      <c r="K116" s="382"/>
    </row>
    <row r="117" spans="2:11" x14ac:dyDescent="0.25">
      <c r="B117" s="369" t="s">
        <v>907</v>
      </c>
      <c r="C117" s="80" t="s">
        <v>653</v>
      </c>
      <c r="D117" s="80" t="s">
        <v>46</v>
      </c>
      <c r="E117" s="80" t="s">
        <v>970</v>
      </c>
      <c r="F117" s="337">
        <v>2</v>
      </c>
      <c r="G117" s="371">
        <v>396.01709557151952</v>
      </c>
      <c r="H117" s="371">
        <v>792.03419114303904</v>
      </c>
      <c r="I117" s="441">
        <v>2926.56</v>
      </c>
      <c r="J117" s="381"/>
      <c r="K117" s="382"/>
    </row>
    <row r="118" spans="2:11" x14ac:dyDescent="0.25">
      <c r="B118" s="369" t="s">
        <v>909</v>
      </c>
      <c r="C118" s="80" t="s">
        <v>655</v>
      </c>
      <c r="D118" s="80" t="s">
        <v>46</v>
      </c>
      <c r="E118" s="80" t="s">
        <v>970</v>
      </c>
      <c r="F118" s="337">
        <v>1</v>
      </c>
      <c r="G118" s="371">
        <v>310.08456851868692</v>
      </c>
      <c r="H118" s="371">
        <v>310.08456851868692</v>
      </c>
      <c r="I118" s="441">
        <v>1145.76</v>
      </c>
      <c r="J118" s="381"/>
      <c r="K118" s="382"/>
    </row>
    <row r="119" spans="2:11" x14ac:dyDescent="0.25">
      <c r="B119" s="369" t="s">
        <v>142</v>
      </c>
      <c r="C119" s="80" t="s">
        <v>588</v>
      </c>
      <c r="D119" s="80" t="s">
        <v>43</v>
      </c>
      <c r="E119" s="80" t="s">
        <v>970</v>
      </c>
      <c r="F119" s="337">
        <v>1</v>
      </c>
      <c r="G119" s="371">
        <v>290.47627871766332</v>
      </c>
      <c r="H119" s="371">
        <v>290.47627871766332</v>
      </c>
      <c r="I119" s="441">
        <v>0</v>
      </c>
      <c r="J119" s="381"/>
      <c r="K119" s="382"/>
    </row>
    <row r="120" spans="2:11" x14ac:dyDescent="0.25">
      <c r="B120" s="369" t="s">
        <v>859</v>
      </c>
      <c r="C120" s="80" t="s">
        <v>595</v>
      </c>
      <c r="D120" s="80" t="s">
        <v>46</v>
      </c>
      <c r="E120" s="80" t="s">
        <v>970</v>
      </c>
      <c r="F120" s="337">
        <v>5</v>
      </c>
      <c r="G120" s="371">
        <v>289.35164135673369</v>
      </c>
      <c r="H120" s="371">
        <v>1446.7582067836684</v>
      </c>
      <c r="I120" s="441">
        <v>5345.76</v>
      </c>
      <c r="J120" s="381"/>
      <c r="K120" s="382"/>
    </row>
    <row r="121" spans="2:11" x14ac:dyDescent="0.25">
      <c r="B121" s="369" t="s">
        <v>1075</v>
      </c>
      <c r="C121" s="80" t="s">
        <v>558</v>
      </c>
      <c r="D121" s="80" t="s">
        <v>26</v>
      </c>
      <c r="E121" s="80" t="s">
        <v>970</v>
      </c>
      <c r="F121" s="337">
        <v>2</v>
      </c>
      <c r="G121" s="371">
        <v>265.52696189869965</v>
      </c>
      <c r="H121" s="371">
        <v>531.05392379739931</v>
      </c>
      <c r="I121" s="441">
        <v>0</v>
      </c>
      <c r="J121" s="381"/>
      <c r="K121" s="382"/>
    </row>
    <row r="122" spans="2:11" x14ac:dyDescent="0.25">
      <c r="B122" s="369" t="s">
        <v>854</v>
      </c>
      <c r="C122" s="80" t="s">
        <v>590</v>
      </c>
      <c r="D122" s="80" t="s">
        <v>46</v>
      </c>
      <c r="E122" s="80" t="s">
        <v>970</v>
      </c>
      <c r="F122" s="337">
        <v>1</v>
      </c>
      <c r="G122" s="371">
        <v>245.52150586523601</v>
      </c>
      <c r="H122" s="371">
        <v>245.52150586523601</v>
      </c>
      <c r="I122" s="441">
        <v>907.2</v>
      </c>
      <c r="J122" s="381"/>
      <c r="K122" s="382"/>
    </row>
    <row r="123" spans="2:11" ht="25" x14ac:dyDescent="0.25">
      <c r="B123" s="369" t="s">
        <v>993</v>
      </c>
      <c r="C123" s="80" t="s">
        <v>569</v>
      </c>
      <c r="D123" s="80" t="s">
        <v>38</v>
      </c>
      <c r="E123" s="80" t="s">
        <v>970</v>
      </c>
      <c r="F123" s="337">
        <v>1</v>
      </c>
      <c r="G123" s="371">
        <v>77.293807402018743</v>
      </c>
      <c r="H123" s="371">
        <v>77.293807402018743</v>
      </c>
      <c r="I123" s="441">
        <v>285.60000000000002</v>
      </c>
      <c r="J123" s="381"/>
      <c r="K123" s="382"/>
    </row>
    <row r="124" spans="2:11" x14ac:dyDescent="0.25">
      <c r="B124" s="370"/>
      <c r="C124" s="80" t="s">
        <v>573</v>
      </c>
      <c r="D124" s="80" t="s">
        <v>39</v>
      </c>
      <c r="E124" s="80" t="s">
        <v>970</v>
      </c>
      <c r="F124" s="337">
        <v>2</v>
      </c>
      <c r="G124" s="371">
        <v>77.091024824952271</v>
      </c>
      <c r="H124" s="371">
        <v>154.18204964990454</v>
      </c>
      <c r="I124" s="441">
        <v>569.70143999999993</v>
      </c>
      <c r="J124" s="381"/>
      <c r="K124" s="382"/>
    </row>
    <row r="125" spans="2:11" x14ac:dyDescent="0.25">
      <c r="B125" s="369" t="s">
        <v>917</v>
      </c>
      <c r="C125" s="80" t="s">
        <v>665</v>
      </c>
      <c r="D125" s="80" t="s">
        <v>46</v>
      </c>
      <c r="E125" s="80" t="s">
        <v>970</v>
      </c>
      <c r="F125" s="337">
        <v>1</v>
      </c>
      <c r="G125" s="371">
        <v>150.95025916158954</v>
      </c>
      <c r="H125" s="371">
        <v>150.95025916158954</v>
      </c>
      <c r="I125" s="441">
        <v>557.76</v>
      </c>
      <c r="J125" s="381"/>
      <c r="K125" s="382"/>
    </row>
    <row r="126" spans="2:11" x14ac:dyDescent="0.25">
      <c r="B126" s="369" t="s">
        <v>1002</v>
      </c>
      <c r="C126" s="80" t="s">
        <v>575</v>
      </c>
      <c r="D126" s="80" t="s">
        <v>39</v>
      </c>
      <c r="E126" s="80" t="s">
        <v>970</v>
      </c>
      <c r="F126" s="337">
        <v>1</v>
      </c>
      <c r="G126" s="371">
        <v>139.1643175411476</v>
      </c>
      <c r="H126" s="371">
        <v>139.1643175411476</v>
      </c>
      <c r="I126" s="441">
        <v>514.21103999999991</v>
      </c>
      <c r="J126" s="381"/>
      <c r="K126" s="382"/>
    </row>
    <row r="127" spans="2:11" ht="25" x14ac:dyDescent="0.25">
      <c r="B127" s="369" t="s">
        <v>992</v>
      </c>
      <c r="C127" s="80" t="s">
        <v>568</v>
      </c>
      <c r="D127" s="80" t="s">
        <v>38</v>
      </c>
      <c r="E127" s="80" t="s">
        <v>970</v>
      </c>
      <c r="F127" s="337">
        <v>1</v>
      </c>
      <c r="G127" s="371">
        <v>64.563062653450942</v>
      </c>
      <c r="H127" s="371">
        <v>64.563062653450942</v>
      </c>
      <c r="I127" s="441">
        <v>238.56</v>
      </c>
      <c r="J127" s="381"/>
      <c r="K127" s="382"/>
    </row>
    <row r="128" spans="2:11" x14ac:dyDescent="0.25">
      <c r="B128" s="370"/>
      <c r="C128" s="80" t="s">
        <v>572</v>
      </c>
      <c r="D128" s="80" t="s">
        <v>39</v>
      </c>
      <c r="E128" s="80" t="s">
        <v>970</v>
      </c>
      <c r="F128" s="337">
        <v>2</v>
      </c>
      <c r="G128" s="371">
        <v>65.57743020823861</v>
      </c>
      <c r="H128" s="371">
        <v>131.15486041647722</v>
      </c>
      <c r="I128" s="441">
        <v>484.61615999999998</v>
      </c>
      <c r="J128" s="381"/>
      <c r="K128" s="382"/>
    </row>
    <row r="129" spans="2:11" x14ac:dyDescent="0.25">
      <c r="B129" s="369" t="s">
        <v>1076</v>
      </c>
      <c r="C129" s="80" t="s">
        <v>559</v>
      </c>
      <c r="D129" s="80" t="s">
        <v>26</v>
      </c>
      <c r="E129" s="80" t="s">
        <v>970</v>
      </c>
      <c r="F129" s="337">
        <v>2</v>
      </c>
      <c r="G129" s="371">
        <v>116.3953805583341</v>
      </c>
      <c r="H129" s="371">
        <v>232.79076111666819</v>
      </c>
      <c r="I129" s="441">
        <v>0</v>
      </c>
      <c r="J129" s="381"/>
      <c r="K129" s="382"/>
    </row>
    <row r="130" spans="2:11" x14ac:dyDescent="0.25">
      <c r="B130" s="369" t="s">
        <v>1000</v>
      </c>
      <c r="C130" s="80" t="s">
        <v>571</v>
      </c>
      <c r="D130" s="80" t="s">
        <v>39</v>
      </c>
      <c r="E130" s="80" t="s">
        <v>970</v>
      </c>
      <c r="F130" s="337">
        <v>2</v>
      </c>
      <c r="G130" s="371">
        <v>96.61407656633628</v>
      </c>
      <c r="H130" s="371">
        <v>193.22815313267256</v>
      </c>
      <c r="I130" s="441">
        <v>713.97647999999992</v>
      </c>
      <c r="J130" s="381"/>
      <c r="K130" s="382"/>
    </row>
    <row r="131" spans="2:11" x14ac:dyDescent="0.25">
      <c r="B131" s="369" t="s">
        <v>999</v>
      </c>
      <c r="C131" s="80" t="s">
        <v>570</v>
      </c>
      <c r="D131" s="80" t="s">
        <v>39</v>
      </c>
      <c r="E131" s="80" t="s">
        <v>970</v>
      </c>
      <c r="F131" s="337">
        <v>2</v>
      </c>
      <c r="G131" s="371">
        <v>87.649358916068024</v>
      </c>
      <c r="H131" s="371">
        <v>175.29871783213605</v>
      </c>
      <c r="I131" s="441">
        <v>647.72735999999998</v>
      </c>
      <c r="J131" s="381"/>
      <c r="K131" s="382"/>
    </row>
    <row r="132" spans="2:11" x14ac:dyDescent="0.25">
      <c r="B132" s="369" t="s">
        <v>1001</v>
      </c>
      <c r="C132" s="80" t="s">
        <v>574</v>
      </c>
      <c r="D132" s="80" t="s">
        <v>39</v>
      </c>
      <c r="E132" s="80" t="s">
        <v>970</v>
      </c>
      <c r="F132" s="337">
        <v>2</v>
      </c>
      <c r="G132" s="371">
        <v>69.582158770573798</v>
      </c>
      <c r="H132" s="371">
        <v>139.1643175411476</v>
      </c>
      <c r="I132" s="441">
        <v>514.21103999999991</v>
      </c>
      <c r="J132" s="381"/>
      <c r="K132" s="382"/>
    </row>
    <row r="133" spans="2:11" ht="13.5" thickBot="1" x14ac:dyDescent="0.3">
      <c r="B133" s="83" t="s">
        <v>688</v>
      </c>
      <c r="C133" s="84"/>
      <c r="D133" s="84"/>
      <c r="E133" s="84"/>
      <c r="F133" s="438">
        <v>327.60000000000002</v>
      </c>
      <c r="G133" s="439">
        <v>7369135.5422883369</v>
      </c>
      <c r="H133" s="439">
        <v>8717940.3473674655</v>
      </c>
      <c r="I133" s="442">
        <v>6114156.1511112815</v>
      </c>
      <c r="J133" s="383"/>
      <c r="K133" s="384"/>
    </row>
  </sheetData>
  <phoneticPr fontId="7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3"/>
  <dimension ref="A1:BR81"/>
  <sheetViews>
    <sheetView workbookViewId="0"/>
  </sheetViews>
  <sheetFormatPr defaultRowHeight="12.5" outlineLevelRow="1" x14ac:dyDescent="0.25"/>
  <cols>
    <col min="1" max="1" width="9.81640625" customWidth="1"/>
    <col min="2" max="2" width="13.7265625" bestFit="1" customWidth="1"/>
    <col min="3" max="3" width="14" bestFit="1" customWidth="1"/>
    <col min="4" max="4" width="9" bestFit="1" customWidth="1"/>
    <col min="5" max="5" width="14.7265625" bestFit="1" customWidth="1"/>
    <col min="6" max="6" width="6" bestFit="1" customWidth="1"/>
    <col min="7" max="7" width="3.81640625" bestFit="1" customWidth="1"/>
    <col min="10" max="10" width="17.81640625" bestFit="1" customWidth="1"/>
    <col min="11" max="11" width="17.1796875" customWidth="1"/>
    <col min="12" max="12" width="10.54296875" bestFit="1" customWidth="1"/>
    <col min="70" max="70" width="11.26953125" bestFit="1" customWidth="1"/>
  </cols>
  <sheetData>
    <row r="1" spans="1:70" x14ac:dyDescent="0.25">
      <c r="A1" t="s">
        <v>1766</v>
      </c>
    </row>
    <row r="3" spans="1:70" x14ac:dyDescent="0.25">
      <c r="A3" t="s">
        <v>1767</v>
      </c>
    </row>
    <row r="4" spans="1:70" ht="13" x14ac:dyDescent="0.3">
      <c r="A4" s="611"/>
      <c r="B4" s="835" t="s">
        <v>682</v>
      </c>
      <c r="C4" s="836"/>
      <c r="D4" s="836"/>
      <c r="E4" s="836"/>
      <c r="F4" s="836"/>
      <c r="G4" s="837"/>
      <c r="H4" s="613" t="s">
        <v>1772</v>
      </c>
      <c r="I4" s="99"/>
      <c r="J4" s="99"/>
      <c r="K4" s="9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614"/>
    </row>
    <row r="5" spans="1:70" ht="138" customHeight="1" x14ac:dyDescent="0.25">
      <c r="A5" s="612" t="s">
        <v>1768</v>
      </c>
      <c r="B5" s="618" t="s">
        <v>1770</v>
      </c>
      <c r="C5" s="612" t="s">
        <v>1769</v>
      </c>
      <c r="D5" s="612" t="s">
        <v>1771</v>
      </c>
      <c r="E5" s="612" t="s">
        <v>1769</v>
      </c>
      <c r="F5" s="619" t="s">
        <v>1827</v>
      </c>
      <c r="G5" s="619" t="s">
        <v>683</v>
      </c>
      <c r="H5" s="608" t="s">
        <v>1805</v>
      </c>
      <c r="I5" s="608" t="s">
        <v>1806</v>
      </c>
      <c r="J5" s="608" t="str">
        <f>K18</f>
        <v xml:space="preserve">ОП4, ОП6, ОП8, ОП10, ОП12, ОП25, ОП26а, ОП42, ОП44, ОП48, ОП50, ОП51, ОП63, ОП64, ОП75а, ОП78, ОП80а, ОП88, ОП112, ОП114, ОП116, ОП118, ОП125, ОП106, ОП131, </v>
      </c>
      <c r="K5" s="608" t="s">
        <v>1810</v>
      </c>
      <c r="L5" s="608" t="str">
        <f>M18</f>
        <v xml:space="preserve">ОП15, ОП19, ОП21, ОП36, ОП37, ОП39, ОП55, ОП57, ОП79, ОП87, ОП89, ОП92, ОП93, ОП101, ОП130, </v>
      </c>
      <c r="M5" s="608" t="s">
        <v>1811</v>
      </c>
      <c r="N5" s="608" t="s">
        <v>1812</v>
      </c>
      <c r="O5" s="608" t="s">
        <v>1813</v>
      </c>
      <c r="P5" s="608" t="s">
        <v>1814</v>
      </c>
      <c r="Q5" s="608" t="s">
        <v>1815</v>
      </c>
      <c r="R5" s="608" t="s">
        <v>1816</v>
      </c>
      <c r="S5" s="608" t="s">
        <v>1817</v>
      </c>
      <c r="T5" s="608" t="s">
        <v>1818</v>
      </c>
      <c r="U5" s="608" t="s">
        <v>1819</v>
      </c>
      <c r="V5" s="608" t="s">
        <v>1821</v>
      </c>
      <c r="W5" s="608" t="s">
        <v>1820</v>
      </c>
      <c r="X5" s="608" t="str">
        <f>Y18</f>
        <v xml:space="preserve">ОП30, ОП31, ОП32, ОП33, ОП78а, ОП94, </v>
      </c>
      <c r="Y5" s="608" t="s">
        <v>1823</v>
      </c>
      <c r="Z5" s="608" t="str">
        <f>AA18</f>
        <v xml:space="preserve">ОП38, ОП45, ОП46, ОП47, ОП59, ОП68, </v>
      </c>
      <c r="AA5" s="608" t="s">
        <v>1824</v>
      </c>
      <c r="AB5" s="608" t="s">
        <v>1825</v>
      </c>
      <c r="AC5" s="608" t="s">
        <v>1826</v>
      </c>
      <c r="AD5" s="608" t="str">
        <f>AE18</f>
        <v xml:space="preserve">ОП52, ОП111, ОП113, ОП115, ОП117, </v>
      </c>
      <c r="AE5" s="608" t="s">
        <v>1830</v>
      </c>
      <c r="AF5" s="608" t="s">
        <v>1831</v>
      </c>
      <c r="AG5" s="608" t="s">
        <v>1832</v>
      </c>
      <c r="AH5" s="608" t="s">
        <v>1833</v>
      </c>
      <c r="AI5" s="608" t="s">
        <v>1834</v>
      </c>
      <c r="AJ5" s="608" t="s">
        <v>1835</v>
      </c>
      <c r="AK5" s="608" t="s">
        <v>1836</v>
      </c>
      <c r="AL5" s="608" t="str">
        <f>AM18</f>
        <v xml:space="preserve">ОП62, ОП65, ОП67, </v>
      </c>
      <c r="AM5" s="608" t="s">
        <v>1837</v>
      </c>
      <c r="AN5" s="608" t="str">
        <f>AO18</f>
        <v xml:space="preserve">ОП71, ОП86, ОП107, </v>
      </c>
      <c r="AO5" s="608" t="s">
        <v>1838</v>
      </c>
      <c r="AP5" s="608" t="str">
        <f>AQ18</f>
        <v xml:space="preserve">ОП73, ОП74, </v>
      </c>
      <c r="AQ5" s="608" t="s">
        <v>1839</v>
      </c>
      <c r="AR5" s="608" t="s">
        <v>1840</v>
      </c>
      <c r="AS5" s="608" t="s">
        <v>1841</v>
      </c>
      <c r="AT5" s="608" t="s">
        <v>1842</v>
      </c>
      <c r="AU5" s="608" t="s">
        <v>1843</v>
      </c>
      <c r="AV5" s="608" t="s">
        <v>1844</v>
      </c>
      <c r="AW5" s="608" t="s">
        <v>1845</v>
      </c>
      <c r="AX5" s="608" t="s">
        <v>1846</v>
      </c>
      <c r="AY5" s="608" t="s">
        <v>1847</v>
      </c>
      <c r="AZ5" s="608" t="s">
        <v>1848</v>
      </c>
      <c r="BA5" s="608" t="s">
        <v>1849</v>
      </c>
      <c r="BB5" s="608" t="s">
        <v>1850</v>
      </c>
      <c r="BC5" s="608" t="s">
        <v>1851</v>
      </c>
      <c r="BD5" s="608" t="str">
        <f>BE18</f>
        <v xml:space="preserve">ОП99, ОП100, ОП102, ОП103, </v>
      </c>
      <c r="BE5" s="617" t="s">
        <v>1852</v>
      </c>
      <c r="BF5" s="617" t="s">
        <v>1853</v>
      </c>
      <c r="BG5" s="617" t="s">
        <v>1854</v>
      </c>
      <c r="BH5" s="617" t="s">
        <v>1855</v>
      </c>
      <c r="BI5" s="617" t="str">
        <f>BJ18</f>
        <v xml:space="preserve">ОП119, ОП120, ОП121, </v>
      </c>
      <c r="BJ5" s="617" t="s">
        <v>1856</v>
      </c>
      <c r="BK5" s="617" t="s">
        <v>1857</v>
      </c>
      <c r="BL5" s="617" t="s">
        <v>1858</v>
      </c>
      <c r="BM5" s="617" t="s">
        <v>1859</v>
      </c>
      <c r="BN5" s="617" t="s">
        <v>1860</v>
      </c>
      <c r="BO5" s="617" t="s">
        <v>1861</v>
      </c>
      <c r="BP5" s="617" t="str">
        <f>BQ18</f>
        <v xml:space="preserve">ОП127, ОП128, ОП129, </v>
      </c>
      <c r="BQ5" s="617" t="s">
        <v>1862</v>
      </c>
      <c r="BR5" s="617" t="s">
        <v>1863</v>
      </c>
    </row>
    <row r="6" spans="1:70" ht="13" outlineLevel="1" x14ac:dyDescent="0.3">
      <c r="A6" t="s">
        <v>1773</v>
      </c>
      <c r="B6" s="609" t="s">
        <v>1790</v>
      </c>
      <c r="C6" s="609" t="s">
        <v>1774</v>
      </c>
      <c r="D6" s="609" t="s">
        <v>1778</v>
      </c>
      <c r="E6" s="609" t="s">
        <v>1775</v>
      </c>
      <c r="F6" s="615">
        <v>41.63</v>
      </c>
      <c r="G6" s="620" t="s">
        <v>1828</v>
      </c>
      <c r="H6" s="610"/>
      <c r="I6" s="610">
        <v>11.44</v>
      </c>
      <c r="J6" s="610"/>
      <c r="K6" s="610"/>
      <c r="L6" s="610"/>
      <c r="M6" s="610"/>
      <c r="N6" s="610">
        <v>11.16</v>
      </c>
      <c r="O6" s="610"/>
      <c r="P6" s="610"/>
      <c r="Q6" s="610">
        <v>10.81</v>
      </c>
      <c r="R6" s="610">
        <v>11.13</v>
      </c>
      <c r="S6" s="610"/>
      <c r="T6" s="610"/>
      <c r="U6" s="610"/>
      <c r="V6" s="610"/>
      <c r="W6" s="610"/>
      <c r="X6" s="610"/>
      <c r="Y6" s="610"/>
      <c r="Z6" s="610">
        <v>10.76</v>
      </c>
      <c r="AA6" s="610"/>
      <c r="AB6" s="610"/>
      <c r="AC6" s="610"/>
      <c r="AD6" s="610"/>
      <c r="AE6" s="610"/>
      <c r="AF6" s="610"/>
      <c r="AG6" s="610">
        <v>13.12</v>
      </c>
      <c r="AH6" s="610">
        <v>12.58</v>
      </c>
      <c r="AI6" s="610">
        <v>14.64</v>
      </c>
      <c r="AJ6" s="610"/>
      <c r="AK6" s="610"/>
      <c r="AL6" s="610"/>
      <c r="AM6" s="610"/>
      <c r="AN6" s="610"/>
      <c r="AO6" s="610"/>
      <c r="AP6" s="610"/>
      <c r="AQ6" s="610"/>
      <c r="AR6" s="610"/>
      <c r="AS6" s="610"/>
      <c r="AT6" s="610"/>
      <c r="AU6" s="610"/>
      <c r="AV6" s="610"/>
      <c r="AW6" s="610"/>
      <c r="AX6" s="610"/>
      <c r="AY6" s="610"/>
      <c r="AZ6" s="610"/>
      <c r="BA6" s="610"/>
      <c r="BB6" s="610"/>
      <c r="BC6" s="610"/>
      <c r="BD6" s="610"/>
      <c r="BE6" s="610"/>
      <c r="BF6" s="610"/>
      <c r="BG6" s="610"/>
      <c r="BH6" s="610"/>
      <c r="BI6" s="610"/>
      <c r="BJ6" s="610"/>
      <c r="BK6" s="610"/>
      <c r="BL6" s="610"/>
      <c r="BM6" s="610"/>
      <c r="BN6" s="610"/>
      <c r="BO6" s="610"/>
      <c r="BP6" s="610"/>
      <c r="BQ6" s="622">
        <f t="shared" ref="BQ6:BQ16" si="0">SUM(H6:BP6)</f>
        <v>95.64</v>
      </c>
      <c r="BR6" s="623">
        <f t="shared" ref="BR6:BR16" si="1">ROUND(BQ6*F6,1)</f>
        <v>3981.5</v>
      </c>
    </row>
    <row r="7" spans="1:70" ht="13" x14ac:dyDescent="0.3">
      <c r="A7" s="603" t="s">
        <v>1776</v>
      </c>
      <c r="B7" s="609" t="s">
        <v>1791</v>
      </c>
      <c r="C7" s="610" t="s">
        <v>1774</v>
      </c>
      <c r="D7" s="609" t="s">
        <v>1778</v>
      </c>
      <c r="E7" s="609" t="s">
        <v>1775</v>
      </c>
      <c r="F7" s="610">
        <v>29.79</v>
      </c>
      <c r="G7" s="609" t="s">
        <v>1828</v>
      </c>
      <c r="H7" s="610">
        <v>11.51</v>
      </c>
      <c r="I7" s="610"/>
      <c r="J7" s="610">
        <v>11.4</v>
      </c>
      <c r="K7" s="610">
        <v>10.87</v>
      </c>
      <c r="L7" s="610"/>
      <c r="M7" s="610">
        <v>11.5</v>
      </c>
      <c r="N7" s="610"/>
      <c r="O7" s="610"/>
      <c r="P7" s="610">
        <v>10.8</v>
      </c>
      <c r="Q7" s="610"/>
      <c r="R7" s="610"/>
      <c r="S7" s="610">
        <v>10.4</v>
      </c>
      <c r="T7" s="610"/>
      <c r="U7" s="610"/>
      <c r="V7" s="610"/>
      <c r="W7" s="610"/>
      <c r="X7" s="610">
        <v>11.28</v>
      </c>
      <c r="Y7" s="610">
        <v>11.27</v>
      </c>
      <c r="Z7" s="610"/>
      <c r="AA7" s="610">
        <v>11.2</v>
      </c>
      <c r="AB7" s="610">
        <v>11.1</v>
      </c>
      <c r="AC7" s="610">
        <v>11.28</v>
      </c>
      <c r="AD7" s="610">
        <v>11.43</v>
      </c>
      <c r="AE7" s="610"/>
      <c r="AF7" s="610">
        <v>26.24</v>
      </c>
      <c r="AG7" s="610"/>
      <c r="AH7" s="610"/>
      <c r="AI7" s="610"/>
      <c r="AJ7" s="610">
        <v>11.06</v>
      </c>
      <c r="AK7" s="610">
        <v>12.1</v>
      </c>
      <c r="AL7" s="610"/>
      <c r="AM7" s="610">
        <v>11.06</v>
      </c>
      <c r="AN7" s="610"/>
      <c r="AO7" s="610">
        <v>13.13</v>
      </c>
      <c r="AP7" s="610"/>
      <c r="AQ7" s="610">
        <v>11.3</v>
      </c>
      <c r="AR7" s="610">
        <v>11.29</v>
      </c>
      <c r="AS7" s="610"/>
      <c r="AT7" s="610">
        <v>10.76</v>
      </c>
      <c r="AU7" s="610"/>
      <c r="AV7" s="610">
        <v>10.48</v>
      </c>
      <c r="AW7" s="610">
        <v>11.31</v>
      </c>
      <c r="AX7" s="610">
        <v>12.33</v>
      </c>
      <c r="AY7" s="610">
        <v>12.03</v>
      </c>
      <c r="AZ7" s="610">
        <v>11.27</v>
      </c>
      <c r="BA7" s="610">
        <v>11.28</v>
      </c>
      <c r="BB7" s="610"/>
      <c r="BC7" s="610"/>
      <c r="BD7" s="610"/>
      <c r="BE7" s="610">
        <v>10.76</v>
      </c>
      <c r="BF7" s="610"/>
      <c r="BG7" s="610"/>
      <c r="BH7" s="610">
        <v>11.34</v>
      </c>
      <c r="BI7" s="610">
        <v>26.2</v>
      </c>
      <c r="BJ7" s="610">
        <v>26.1</v>
      </c>
      <c r="BK7" s="610"/>
      <c r="BL7" s="610">
        <v>10.17</v>
      </c>
      <c r="BM7" s="610">
        <v>11.34</v>
      </c>
      <c r="BN7" s="610">
        <v>10.87</v>
      </c>
      <c r="BO7" s="610"/>
      <c r="BP7" s="610">
        <v>12.67</v>
      </c>
      <c r="BQ7" s="622">
        <f t="shared" si="0"/>
        <v>429.12999999999988</v>
      </c>
      <c r="BR7" s="623">
        <f t="shared" si="1"/>
        <v>12783.8</v>
      </c>
    </row>
    <row r="8" spans="1:70" ht="13" x14ac:dyDescent="0.3">
      <c r="A8" s="603" t="s">
        <v>1777</v>
      </c>
      <c r="B8" s="609" t="s">
        <v>1792</v>
      </c>
      <c r="C8" s="610" t="s">
        <v>1774</v>
      </c>
      <c r="D8" s="609" t="s">
        <v>1778</v>
      </c>
      <c r="E8" s="609" t="s">
        <v>1775</v>
      </c>
      <c r="F8" s="610">
        <v>13.9</v>
      </c>
      <c r="G8" s="609" t="s">
        <v>1828</v>
      </c>
      <c r="H8" s="610"/>
      <c r="I8" s="610"/>
      <c r="J8" s="610"/>
      <c r="K8" s="610">
        <v>3.03</v>
      </c>
      <c r="L8" s="610">
        <v>10.8</v>
      </c>
      <c r="M8" s="610"/>
      <c r="N8" s="610"/>
      <c r="O8" s="610">
        <v>10.85</v>
      </c>
      <c r="P8" s="610"/>
      <c r="Q8" s="610"/>
      <c r="R8" s="610"/>
      <c r="S8" s="610"/>
      <c r="T8" s="610"/>
      <c r="U8" s="610"/>
      <c r="V8" s="610"/>
      <c r="W8" s="610"/>
      <c r="X8" s="610"/>
      <c r="Y8" s="610"/>
      <c r="Z8" s="610"/>
      <c r="AA8" s="610"/>
      <c r="AB8" s="610"/>
      <c r="AC8" s="610"/>
      <c r="AD8" s="610"/>
      <c r="AE8" s="610"/>
      <c r="AF8" s="610"/>
      <c r="AG8" s="610"/>
      <c r="AH8" s="610"/>
      <c r="AI8" s="610"/>
      <c r="AJ8" s="610"/>
      <c r="AK8" s="610"/>
      <c r="AL8" s="610"/>
      <c r="AM8" s="610"/>
      <c r="AN8" s="610">
        <v>10.8</v>
      </c>
      <c r="AO8" s="610"/>
      <c r="AP8" s="610">
        <v>10.77</v>
      </c>
      <c r="AQ8" s="610"/>
      <c r="AR8" s="610"/>
      <c r="AS8" s="610"/>
      <c r="AT8" s="610"/>
      <c r="AU8" s="610"/>
      <c r="AV8" s="610"/>
      <c r="AW8" s="610"/>
      <c r="AX8" s="610"/>
      <c r="AY8" s="610"/>
      <c r="AZ8" s="610"/>
      <c r="BA8" s="610">
        <v>10.039999999999999</v>
      </c>
      <c r="BB8" s="610"/>
      <c r="BC8" s="610">
        <v>10.75</v>
      </c>
      <c r="BD8" s="610">
        <v>1.1399999999999999</v>
      </c>
      <c r="BE8" s="610"/>
      <c r="BF8" s="610"/>
      <c r="BG8" s="610"/>
      <c r="BH8" s="610"/>
      <c r="BI8" s="610"/>
      <c r="BJ8" s="610"/>
      <c r="BK8" s="610"/>
      <c r="BL8" s="610"/>
      <c r="BM8" s="610"/>
      <c r="BN8" s="610"/>
      <c r="BO8" s="610"/>
      <c r="BP8" s="610"/>
      <c r="BQ8" s="622">
        <f t="shared" si="0"/>
        <v>68.179999999999993</v>
      </c>
      <c r="BR8" s="623">
        <f t="shared" si="1"/>
        <v>947.7</v>
      </c>
    </row>
    <row r="9" spans="1:70" ht="13" x14ac:dyDescent="0.3">
      <c r="A9" t="s">
        <v>1779</v>
      </c>
      <c r="B9" s="610" t="s">
        <v>1782</v>
      </c>
      <c r="C9" s="610" t="s">
        <v>1785</v>
      </c>
      <c r="D9" s="610" t="s">
        <v>1786</v>
      </c>
      <c r="E9" s="610" t="s">
        <v>1787</v>
      </c>
      <c r="F9" s="610">
        <v>14.2</v>
      </c>
      <c r="G9" s="609" t="s">
        <v>1828</v>
      </c>
      <c r="H9" s="610"/>
      <c r="I9" s="610">
        <v>1.2</v>
      </c>
      <c r="J9" s="610"/>
      <c r="K9" s="610"/>
      <c r="L9" s="610"/>
      <c r="M9" s="610">
        <v>0.4</v>
      </c>
      <c r="N9" s="610">
        <v>1.2</v>
      </c>
      <c r="O9" s="610"/>
      <c r="P9" s="610"/>
      <c r="Q9" s="610">
        <v>2</v>
      </c>
      <c r="R9" s="610">
        <v>1.2</v>
      </c>
      <c r="S9" s="610"/>
      <c r="T9" s="610"/>
      <c r="U9" s="610"/>
      <c r="V9" s="610">
        <v>6.05</v>
      </c>
      <c r="W9" s="610">
        <v>4.22</v>
      </c>
      <c r="X9" s="610"/>
      <c r="Y9" s="610">
        <v>0.4</v>
      </c>
      <c r="Z9" s="610">
        <v>1.6</v>
      </c>
      <c r="AA9" s="610"/>
      <c r="AB9" s="610">
        <v>1</v>
      </c>
      <c r="AC9" s="610"/>
      <c r="AD9" s="610"/>
      <c r="AE9" s="610"/>
      <c r="AF9" s="610">
        <v>1.44</v>
      </c>
      <c r="AG9" s="610">
        <v>0.2</v>
      </c>
      <c r="AH9" s="610"/>
      <c r="AI9" s="610">
        <v>0.2</v>
      </c>
      <c r="AJ9" s="610">
        <v>6.48</v>
      </c>
      <c r="AK9" s="610"/>
      <c r="AL9" s="610"/>
      <c r="AM9" s="610">
        <v>6.48</v>
      </c>
      <c r="AN9" s="610"/>
      <c r="AO9" s="610">
        <v>3.9</v>
      </c>
      <c r="AP9" s="610"/>
      <c r="AQ9" s="610"/>
      <c r="AR9" s="610"/>
      <c r="AS9" s="610"/>
      <c r="AT9" s="610"/>
      <c r="AU9" s="610"/>
      <c r="AV9" s="610">
        <v>0.4</v>
      </c>
      <c r="AW9" s="610">
        <v>0.4</v>
      </c>
      <c r="AX9" s="610"/>
      <c r="AY9" s="610"/>
      <c r="AZ9" s="610"/>
      <c r="BA9" s="610"/>
      <c r="BB9" s="610"/>
      <c r="BC9" s="610"/>
      <c r="BD9" s="610">
        <v>0.8</v>
      </c>
      <c r="BE9" s="610">
        <v>0.2</v>
      </c>
      <c r="BF9" s="610"/>
      <c r="BG9" s="610"/>
      <c r="BH9" s="610"/>
      <c r="BI9" s="610"/>
      <c r="BJ9" s="610"/>
      <c r="BK9" s="610"/>
      <c r="BL9" s="610"/>
      <c r="BM9" s="610"/>
      <c r="BN9" s="610"/>
      <c r="BO9" s="610"/>
      <c r="BP9" s="610"/>
      <c r="BQ9" s="622">
        <f t="shared" si="0"/>
        <v>39.769999999999996</v>
      </c>
      <c r="BR9" s="623">
        <f t="shared" si="1"/>
        <v>564.70000000000005</v>
      </c>
    </row>
    <row r="10" spans="1:70" ht="13" outlineLevel="1" x14ac:dyDescent="0.3">
      <c r="A10" t="s">
        <v>1780</v>
      </c>
      <c r="B10" s="610" t="s">
        <v>1783</v>
      </c>
      <c r="C10" s="610" t="s">
        <v>1785</v>
      </c>
      <c r="D10" s="610" t="s">
        <v>1786</v>
      </c>
      <c r="E10" s="610" t="s">
        <v>1787</v>
      </c>
      <c r="F10" s="610">
        <v>12.3</v>
      </c>
      <c r="G10" s="609" t="s">
        <v>1828</v>
      </c>
      <c r="H10" s="610"/>
      <c r="I10" s="610"/>
      <c r="J10" s="610"/>
      <c r="K10" s="610"/>
      <c r="L10" s="610"/>
      <c r="M10" s="610"/>
      <c r="N10" s="610"/>
      <c r="O10" s="610"/>
      <c r="P10" s="610"/>
      <c r="Q10" s="610">
        <v>2.4</v>
      </c>
      <c r="R10" s="610"/>
      <c r="S10" s="610"/>
      <c r="T10" s="610"/>
      <c r="U10" s="610"/>
      <c r="V10" s="610"/>
      <c r="W10" s="610"/>
      <c r="X10" s="610"/>
      <c r="Y10" s="610"/>
      <c r="Z10" s="610">
        <v>2.4</v>
      </c>
      <c r="AA10" s="610"/>
      <c r="AB10" s="610"/>
      <c r="AC10" s="610"/>
      <c r="AD10" s="610"/>
      <c r="AE10" s="610"/>
      <c r="AF10" s="610">
        <v>0.76</v>
      </c>
      <c r="AG10" s="610"/>
      <c r="AH10" s="610"/>
      <c r="AI10" s="610"/>
      <c r="AJ10" s="610"/>
      <c r="AK10" s="610"/>
      <c r="AL10" s="610"/>
      <c r="AM10" s="610"/>
      <c r="AN10" s="610"/>
      <c r="AO10" s="610">
        <v>1.43</v>
      </c>
      <c r="AP10" s="610"/>
      <c r="AQ10" s="610"/>
      <c r="AR10" s="610"/>
      <c r="AS10" s="610"/>
      <c r="AT10" s="610"/>
      <c r="AU10" s="610"/>
      <c r="AV10" s="610"/>
      <c r="AW10" s="610"/>
      <c r="AX10" s="610"/>
      <c r="AY10" s="610"/>
      <c r="AZ10" s="610"/>
      <c r="BA10" s="610"/>
      <c r="BB10" s="610"/>
      <c r="BC10" s="610"/>
      <c r="BD10" s="610"/>
      <c r="BE10" s="610"/>
      <c r="BF10" s="610"/>
      <c r="BG10" s="610"/>
      <c r="BH10" s="610"/>
      <c r="BI10" s="610"/>
      <c r="BJ10" s="610"/>
      <c r="BK10" s="610"/>
      <c r="BL10" s="610"/>
      <c r="BM10" s="610"/>
      <c r="BN10" s="610"/>
      <c r="BO10" s="610"/>
      <c r="BP10" s="610"/>
      <c r="BQ10" s="622">
        <f t="shared" si="0"/>
        <v>6.9899999999999993</v>
      </c>
      <c r="BR10" s="623">
        <f t="shared" si="1"/>
        <v>86</v>
      </c>
    </row>
    <row r="11" spans="1:70" ht="13" x14ac:dyDescent="0.3">
      <c r="A11" t="s">
        <v>1781</v>
      </c>
      <c r="B11" s="610" t="s">
        <v>1784</v>
      </c>
      <c r="C11" s="610" t="s">
        <v>1785</v>
      </c>
      <c r="D11" s="610" t="s">
        <v>1786</v>
      </c>
      <c r="E11" s="610" t="s">
        <v>1787</v>
      </c>
      <c r="F11" s="610">
        <v>8.59</v>
      </c>
      <c r="G11" s="609" t="s">
        <v>1828</v>
      </c>
      <c r="H11" s="610">
        <v>1.96</v>
      </c>
      <c r="I11" s="610">
        <v>2.36</v>
      </c>
      <c r="J11" s="610">
        <v>0.8</v>
      </c>
      <c r="K11" s="610">
        <v>0.89</v>
      </c>
      <c r="L11" s="610">
        <v>0.8</v>
      </c>
      <c r="M11" s="610">
        <v>4.28</v>
      </c>
      <c r="N11" s="610">
        <v>7.68</v>
      </c>
      <c r="O11" s="610">
        <v>1.7</v>
      </c>
      <c r="P11" s="610">
        <v>1.6</v>
      </c>
      <c r="Q11" s="610">
        <v>1.28</v>
      </c>
      <c r="R11" s="610"/>
      <c r="S11" s="610">
        <v>3.6</v>
      </c>
      <c r="T11" s="610">
        <v>3.48</v>
      </c>
      <c r="U11" s="610">
        <v>6.05</v>
      </c>
      <c r="V11" s="610"/>
      <c r="W11" s="610">
        <v>4.22</v>
      </c>
      <c r="X11" s="610">
        <v>1.8</v>
      </c>
      <c r="Y11" s="610">
        <v>2.88</v>
      </c>
      <c r="Z11" s="610"/>
      <c r="AA11" s="610">
        <v>1.84</v>
      </c>
      <c r="AB11" s="610">
        <v>1.32</v>
      </c>
      <c r="AC11" s="610">
        <v>1.8</v>
      </c>
      <c r="AD11" s="610">
        <v>1.6</v>
      </c>
      <c r="AE11" s="610">
        <v>1.1399999999999999</v>
      </c>
      <c r="AF11" s="610">
        <v>14.72</v>
      </c>
      <c r="AG11" s="610">
        <v>8.6</v>
      </c>
      <c r="AH11" s="610">
        <v>5.04</v>
      </c>
      <c r="AI11" s="610">
        <v>4.84</v>
      </c>
      <c r="AJ11" s="610">
        <v>8.34</v>
      </c>
      <c r="AK11" s="610">
        <v>3.3</v>
      </c>
      <c r="AL11" s="610">
        <v>1.81</v>
      </c>
      <c r="AM11" s="610">
        <v>10.68</v>
      </c>
      <c r="AN11" s="610">
        <v>1.6</v>
      </c>
      <c r="AO11" s="610">
        <v>16.7</v>
      </c>
      <c r="AP11" s="610">
        <v>2.1</v>
      </c>
      <c r="AQ11" s="610">
        <v>2.2400000000000002</v>
      </c>
      <c r="AR11" s="610">
        <v>1.94</v>
      </c>
      <c r="AS11" s="610">
        <v>6.5</v>
      </c>
      <c r="AT11" s="610">
        <v>3.78</v>
      </c>
      <c r="AU11" s="610">
        <v>2.68</v>
      </c>
      <c r="AV11" s="610">
        <v>3</v>
      </c>
      <c r="AW11" s="610">
        <v>2.83</v>
      </c>
      <c r="AX11" s="610">
        <v>3.18</v>
      </c>
      <c r="AY11" s="610">
        <v>2.84</v>
      </c>
      <c r="AZ11" s="610">
        <v>2.94</v>
      </c>
      <c r="BA11" s="610">
        <v>7.28</v>
      </c>
      <c r="BB11" s="610">
        <v>1.34</v>
      </c>
      <c r="BC11" s="610">
        <v>1.5</v>
      </c>
      <c r="BD11" s="610">
        <v>0.04</v>
      </c>
      <c r="BE11" s="610">
        <v>4.13</v>
      </c>
      <c r="BF11" s="610">
        <v>5.85</v>
      </c>
      <c r="BG11" s="610">
        <v>1.89</v>
      </c>
      <c r="BH11" s="610">
        <v>3.44</v>
      </c>
      <c r="BI11" s="610">
        <v>6.2</v>
      </c>
      <c r="BJ11" s="610">
        <v>9.6999999999999993</v>
      </c>
      <c r="BK11" s="610">
        <v>2.04</v>
      </c>
      <c r="BL11" s="610">
        <v>2.2000000000000002</v>
      </c>
      <c r="BM11" s="610">
        <v>2.64</v>
      </c>
      <c r="BN11" s="610">
        <v>0.36</v>
      </c>
      <c r="BO11" s="610">
        <v>2.5</v>
      </c>
      <c r="BP11" s="610">
        <v>1.74</v>
      </c>
      <c r="BQ11" s="622">
        <f t="shared" si="0"/>
        <v>215.58999999999997</v>
      </c>
      <c r="BR11" s="623">
        <f t="shared" si="1"/>
        <v>1851.9</v>
      </c>
    </row>
    <row r="12" spans="1:70" ht="13" x14ac:dyDescent="0.3">
      <c r="A12" t="s">
        <v>1788</v>
      </c>
      <c r="B12" s="610" t="s">
        <v>1789</v>
      </c>
      <c r="C12" s="610" t="s">
        <v>1793</v>
      </c>
      <c r="D12" s="610" t="s">
        <v>1794</v>
      </c>
      <c r="E12" s="610" t="s">
        <v>1787</v>
      </c>
      <c r="F12" s="610">
        <v>6.89</v>
      </c>
      <c r="G12" s="609" t="s">
        <v>1828</v>
      </c>
      <c r="H12" s="610"/>
      <c r="I12" s="610"/>
      <c r="J12" s="610"/>
      <c r="K12" s="610"/>
      <c r="L12" s="610"/>
      <c r="M12" s="610">
        <v>1.46</v>
      </c>
      <c r="N12" s="610"/>
      <c r="O12" s="610"/>
      <c r="P12" s="610"/>
      <c r="Q12" s="610">
        <v>1.41</v>
      </c>
      <c r="R12" s="610"/>
      <c r="S12" s="610"/>
      <c r="T12" s="610"/>
      <c r="U12" s="610"/>
      <c r="V12" s="610"/>
      <c r="W12" s="610"/>
      <c r="X12" s="610"/>
      <c r="Y12" s="610">
        <v>1.1499999999999999</v>
      </c>
      <c r="Z12" s="610"/>
      <c r="AA12" s="610"/>
      <c r="AB12" s="610"/>
      <c r="AC12" s="610"/>
      <c r="AD12" s="610"/>
      <c r="AE12" s="610"/>
      <c r="AF12" s="610"/>
      <c r="AG12" s="610">
        <v>1.92</v>
      </c>
      <c r="AH12" s="610"/>
      <c r="AI12" s="610">
        <v>0.87</v>
      </c>
      <c r="AJ12" s="610"/>
      <c r="AK12" s="610"/>
      <c r="AL12" s="610"/>
      <c r="AM12" s="610"/>
      <c r="AN12" s="610"/>
      <c r="AO12" s="610"/>
      <c r="AP12" s="610"/>
      <c r="AQ12" s="610"/>
      <c r="AR12" s="610"/>
      <c r="AS12" s="610"/>
      <c r="AT12" s="610"/>
      <c r="AU12" s="610"/>
      <c r="AV12" s="610">
        <v>1.1000000000000001</v>
      </c>
      <c r="AW12" s="610">
        <v>1.1000000000000001</v>
      </c>
      <c r="AX12" s="610"/>
      <c r="AY12" s="610">
        <v>1</v>
      </c>
      <c r="AZ12" s="610"/>
      <c r="BA12" s="610"/>
      <c r="BB12" s="610"/>
      <c r="BC12" s="610"/>
      <c r="BD12" s="610"/>
      <c r="BE12" s="610">
        <v>0.45</v>
      </c>
      <c r="BF12" s="610"/>
      <c r="BG12" s="610"/>
      <c r="BH12" s="610"/>
      <c r="BI12" s="610"/>
      <c r="BJ12" s="610"/>
      <c r="BK12" s="610"/>
      <c r="BL12" s="610"/>
      <c r="BM12" s="610"/>
      <c r="BN12" s="610"/>
      <c r="BO12" s="610"/>
      <c r="BP12" s="610"/>
      <c r="BQ12" s="622">
        <f t="shared" si="0"/>
        <v>10.459999999999999</v>
      </c>
      <c r="BR12" s="623">
        <f t="shared" si="1"/>
        <v>72.099999999999994</v>
      </c>
    </row>
    <row r="13" spans="1:70" ht="13" x14ac:dyDescent="0.3">
      <c r="A13" s="604" t="s">
        <v>1795</v>
      </c>
      <c r="B13" s="610" t="s">
        <v>1802</v>
      </c>
      <c r="C13" s="610" t="s">
        <v>1803</v>
      </c>
      <c r="D13" s="610" t="s">
        <v>1786</v>
      </c>
      <c r="E13" s="610" t="s">
        <v>1787</v>
      </c>
      <c r="F13" s="610">
        <v>78.5</v>
      </c>
      <c r="G13" s="609" t="s">
        <v>720</v>
      </c>
      <c r="H13" s="610">
        <v>0.32</v>
      </c>
      <c r="I13" s="610">
        <v>0.42</v>
      </c>
      <c r="J13" s="610">
        <v>0.27</v>
      </c>
      <c r="K13" s="610">
        <v>0.26</v>
      </c>
      <c r="L13" s="610">
        <v>0.06</v>
      </c>
      <c r="M13" s="610">
        <v>0.36</v>
      </c>
      <c r="N13" s="610">
        <v>0.3</v>
      </c>
      <c r="O13" s="610">
        <v>0.1</v>
      </c>
      <c r="P13" s="610">
        <v>0.54</v>
      </c>
      <c r="Q13" s="610">
        <v>0.21</v>
      </c>
      <c r="R13" s="610">
        <v>0.25</v>
      </c>
      <c r="S13" s="610">
        <v>0.06</v>
      </c>
      <c r="T13" s="610">
        <v>2.8000000000000001E-2</v>
      </c>
      <c r="U13" s="610">
        <v>0.17</v>
      </c>
      <c r="V13" s="610">
        <v>0.2</v>
      </c>
      <c r="W13" s="610">
        <v>0.4</v>
      </c>
      <c r="X13" s="610">
        <v>0.3</v>
      </c>
      <c r="Y13" s="610">
        <v>0.78</v>
      </c>
      <c r="Z13" s="610">
        <v>0.09</v>
      </c>
      <c r="AA13" s="610">
        <v>0.37</v>
      </c>
      <c r="AB13" s="610">
        <v>0.42</v>
      </c>
      <c r="AC13" s="610">
        <v>0.3</v>
      </c>
      <c r="AD13" s="610">
        <v>0.3</v>
      </c>
      <c r="AE13" s="610"/>
      <c r="AF13" s="610">
        <v>1.27</v>
      </c>
      <c r="AG13" s="610">
        <v>0.98</v>
      </c>
      <c r="AH13" s="610">
        <v>0.34</v>
      </c>
      <c r="AI13" s="610">
        <v>0.63</v>
      </c>
      <c r="AJ13" s="610">
        <v>1.21</v>
      </c>
      <c r="AK13" s="610">
        <v>0.64</v>
      </c>
      <c r="AL13" s="610">
        <v>0.25</v>
      </c>
      <c r="AM13" s="610">
        <v>1.25</v>
      </c>
      <c r="AN13" s="610">
        <v>6.2E-2</v>
      </c>
      <c r="AO13" s="610">
        <v>1.1599999999999999</v>
      </c>
      <c r="AP13" s="610">
        <v>0.1</v>
      </c>
      <c r="AQ13" s="610">
        <v>0.37</v>
      </c>
      <c r="AR13" s="610">
        <v>0.37</v>
      </c>
      <c r="AS13" s="610">
        <v>2.8000000000000001E-2</v>
      </c>
      <c r="AT13" s="610">
        <v>0.23</v>
      </c>
      <c r="AU13" s="610">
        <v>0.17</v>
      </c>
      <c r="AV13" s="610">
        <v>0.11</v>
      </c>
      <c r="AW13" s="610">
        <v>0.27</v>
      </c>
      <c r="AX13" s="610">
        <v>0.4</v>
      </c>
      <c r="AY13" s="610">
        <v>0.31</v>
      </c>
      <c r="AZ13" s="610">
        <v>0.31</v>
      </c>
      <c r="BA13" s="610">
        <v>0.43</v>
      </c>
      <c r="BB13" s="610">
        <v>4.4999999999999998E-2</v>
      </c>
      <c r="BC13" s="610">
        <v>0.09</v>
      </c>
      <c r="BD13" s="610">
        <v>0.04</v>
      </c>
      <c r="BE13" s="610">
        <v>0.26</v>
      </c>
      <c r="BF13" s="610">
        <v>0.13500000000000001</v>
      </c>
      <c r="BG13" s="610">
        <v>0.5</v>
      </c>
      <c r="BH13" s="610">
        <v>0.54</v>
      </c>
      <c r="BI13" s="610">
        <v>1.1000000000000001</v>
      </c>
      <c r="BJ13" s="610">
        <v>1.2</v>
      </c>
      <c r="BK13" s="610">
        <v>0.45</v>
      </c>
      <c r="BL13" s="610">
        <v>0.54</v>
      </c>
      <c r="BM13" s="610">
        <v>0.54</v>
      </c>
      <c r="BN13" s="610"/>
      <c r="BO13" s="610">
        <v>0.09</v>
      </c>
      <c r="BP13" s="610">
        <v>0.37</v>
      </c>
      <c r="BQ13" s="622">
        <f t="shared" si="0"/>
        <v>23.297999999999998</v>
      </c>
      <c r="BR13" s="623">
        <f t="shared" si="1"/>
        <v>1828.9</v>
      </c>
    </row>
    <row r="14" spans="1:70" ht="13" x14ac:dyDescent="0.3">
      <c r="A14" s="604" t="s">
        <v>1796</v>
      </c>
      <c r="B14" s="610" t="s">
        <v>1799</v>
      </c>
      <c r="C14" s="610" t="s">
        <v>1803</v>
      </c>
      <c r="D14" s="610" t="s">
        <v>1804</v>
      </c>
      <c r="E14" s="610" t="s">
        <v>1787</v>
      </c>
      <c r="F14" s="610">
        <v>62.8</v>
      </c>
      <c r="G14" s="609" t="s">
        <v>720</v>
      </c>
      <c r="H14" s="610"/>
      <c r="I14" s="610">
        <v>0.19</v>
      </c>
      <c r="J14" s="610"/>
      <c r="K14" s="610"/>
      <c r="L14" s="610"/>
      <c r="M14" s="610"/>
      <c r="N14" s="610">
        <v>0.19</v>
      </c>
      <c r="O14" s="610"/>
      <c r="P14" s="610"/>
      <c r="Q14" s="610">
        <v>0.19</v>
      </c>
      <c r="R14" s="610">
        <v>0.19</v>
      </c>
      <c r="S14" s="610"/>
      <c r="T14" s="610"/>
      <c r="U14" s="610"/>
      <c r="V14" s="610"/>
      <c r="W14" s="610"/>
      <c r="X14" s="610"/>
      <c r="Y14" s="610"/>
      <c r="Z14" s="610">
        <v>0.19</v>
      </c>
      <c r="AA14" s="610"/>
      <c r="AB14" s="610">
        <v>0.19</v>
      </c>
      <c r="AC14" s="610"/>
      <c r="AD14" s="610"/>
      <c r="AE14" s="610"/>
      <c r="AF14" s="610"/>
      <c r="AG14" s="610">
        <v>0.19</v>
      </c>
      <c r="AH14" s="610">
        <v>0.19</v>
      </c>
      <c r="AI14" s="610">
        <v>0.19</v>
      </c>
      <c r="AJ14" s="610"/>
      <c r="AK14" s="610"/>
      <c r="AL14" s="610"/>
      <c r="AM14" s="610"/>
      <c r="AN14" s="610"/>
      <c r="AO14" s="610"/>
      <c r="AP14" s="610"/>
      <c r="AQ14" s="610"/>
      <c r="AR14" s="610"/>
      <c r="AS14" s="610"/>
      <c r="AT14" s="610"/>
      <c r="AU14" s="610"/>
      <c r="AV14" s="610"/>
      <c r="AW14" s="610"/>
      <c r="AX14" s="610"/>
      <c r="AY14" s="610"/>
      <c r="AZ14" s="610"/>
      <c r="BA14" s="610"/>
      <c r="BB14" s="610"/>
      <c r="BC14" s="610"/>
      <c r="BD14" s="610">
        <v>0.03</v>
      </c>
      <c r="BE14" s="610"/>
      <c r="BF14" s="610"/>
      <c r="BG14" s="610"/>
      <c r="BH14" s="610"/>
      <c r="BI14" s="610"/>
      <c r="BJ14" s="610"/>
      <c r="BK14" s="610">
        <v>0.19</v>
      </c>
      <c r="BL14" s="610"/>
      <c r="BM14" s="610"/>
      <c r="BN14" s="610"/>
      <c r="BO14" s="610"/>
      <c r="BP14" s="610"/>
      <c r="BQ14" s="622">
        <f t="shared" si="0"/>
        <v>1.9299999999999997</v>
      </c>
      <c r="BR14" s="623">
        <f t="shared" si="1"/>
        <v>121.2</v>
      </c>
    </row>
    <row r="15" spans="1:70" ht="13" x14ac:dyDescent="0.3">
      <c r="A15" s="604" t="s">
        <v>1797</v>
      </c>
      <c r="B15" s="610" t="s">
        <v>1800</v>
      </c>
      <c r="C15" s="610" t="s">
        <v>1803</v>
      </c>
      <c r="D15" s="610" t="s">
        <v>1804</v>
      </c>
      <c r="E15" s="610" t="s">
        <v>1787</v>
      </c>
      <c r="F15" s="610">
        <v>47.1</v>
      </c>
      <c r="G15" s="609" t="s">
        <v>720</v>
      </c>
      <c r="H15" s="610">
        <v>0.1</v>
      </c>
      <c r="I15" s="610"/>
      <c r="J15" s="610">
        <v>0.1</v>
      </c>
      <c r="K15" s="610">
        <v>0.36</v>
      </c>
      <c r="L15" s="610">
        <v>0.15</v>
      </c>
      <c r="M15" s="610">
        <v>0.1</v>
      </c>
      <c r="N15" s="610"/>
      <c r="O15" s="610">
        <v>4.4999999999999998E-2</v>
      </c>
      <c r="P15" s="610">
        <v>0.1</v>
      </c>
      <c r="Q15" s="610"/>
      <c r="R15" s="610"/>
      <c r="S15" s="610">
        <v>0.1</v>
      </c>
      <c r="T15" s="610"/>
      <c r="U15" s="610"/>
      <c r="V15" s="610"/>
      <c r="W15" s="610"/>
      <c r="X15" s="610">
        <v>0.1</v>
      </c>
      <c r="Y15" s="610">
        <v>0.1</v>
      </c>
      <c r="Z15" s="610"/>
      <c r="AA15" s="610">
        <v>0.1</v>
      </c>
      <c r="AB15" s="610"/>
      <c r="AC15" s="610">
        <v>0.1</v>
      </c>
      <c r="AD15" s="610">
        <v>0.1</v>
      </c>
      <c r="AE15" s="610"/>
      <c r="AF15" s="610">
        <v>0.2</v>
      </c>
      <c r="AG15" s="610"/>
      <c r="AH15" s="610"/>
      <c r="AI15" s="610">
        <v>0.23</v>
      </c>
      <c r="AJ15" s="610">
        <v>0.1</v>
      </c>
      <c r="AK15" s="610">
        <v>0.19</v>
      </c>
      <c r="AL15" s="610"/>
      <c r="AM15" s="610">
        <v>0.1</v>
      </c>
      <c r="AN15" s="610">
        <v>4.4999999999999998E-2</v>
      </c>
      <c r="AO15" s="610">
        <v>0.1</v>
      </c>
      <c r="AP15" s="610">
        <v>4.4999999999999998E-2</v>
      </c>
      <c r="AQ15" s="610">
        <v>0.1</v>
      </c>
      <c r="AR15" s="610">
        <v>0.1</v>
      </c>
      <c r="AS15" s="610"/>
      <c r="AT15" s="610">
        <v>0.1</v>
      </c>
      <c r="AU15" s="610"/>
      <c r="AV15" s="610">
        <v>0.1</v>
      </c>
      <c r="AW15" s="610">
        <v>0.1</v>
      </c>
      <c r="AX15" s="610">
        <v>0.1</v>
      </c>
      <c r="AY15" s="610">
        <v>0.1</v>
      </c>
      <c r="AZ15" s="610">
        <v>0.1</v>
      </c>
      <c r="BA15" s="610">
        <v>0.15</v>
      </c>
      <c r="BB15" s="610"/>
      <c r="BC15" s="610">
        <v>4.4999999999999998E-2</v>
      </c>
      <c r="BD15" s="610"/>
      <c r="BE15" s="610">
        <v>0.1</v>
      </c>
      <c r="BF15" s="610"/>
      <c r="BG15" s="610"/>
      <c r="BH15" s="610">
        <v>0.1</v>
      </c>
      <c r="BI15" s="610">
        <v>0.2</v>
      </c>
      <c r="BJ15" s="610">
        <v>0.2</v>
      </c>
      <c r="BK15" s="610"/>
      <c r="BL15" s="610">
        <v>0.1</v>
      </c>
      <c r="BM15" s="610">
        <v>0.1</v>
      </c>
      <c r="BN15" s="610">
        <v>0.1</v>
      </c>
      <c r="BO15" s="610"/>
      <c r="BP15" s="610">
        <v>0.1</v>
      </c>
      <c r="BQ15" s="622">
        <f t="shared" si="0"/>
        <v>4.5599999999999996</v>
      </c>
      <c r="BR15" s="623">
        <f t="shared" si="1"/>
        <v>214.8</v>
      </c>
    </row>
    <row r="16" spans="1:70" ht="13" x14ac:dyDescent="0.3">
      <c r="A16" s="604" t="s">
        <v>1798</v>
      </c>
      <c r="B16" s="616" t="s">
        <v>1801</v>
      </c>
      <c r="C16" s="616" t="s">
        <v>1803</v>
      </c>
      <c r="D16" s="616" t="s">
        <v>1794</v>
      </c>
      <c r="E16" s="616" t="s">
        <v>1787</v>
      </c>
      <c r="F16" s="616">
        <v>31.4</v>
      </c>
      <c r="G16" s="621" t="s">
        <v>720</v>
      </c>
      <c r="H16" s="610">
        <v>0.04</v>
      </c>
      <c r="I16" s="610">
        <v>0.08</v>
      </c>
      <c r="J16" s="610">
        <v>0.03</v>
      </c>
      <c r="K16" s="610">
        <v>0.03</v>
      </c>
      <c r="L16" s="610">
        <v>0.03</v>
      </c>
      <c r="M16" s="610">
        <v>0.04</v>
      </c>
      <c r="N16" s="610">
        <v>0.08</v>
      </c>
      <c r="O16" s="610">
        <v>0.04</v>
      </c>
      <c r="P16" s="610">
        <v>0.03</v>
      </c>
      <c r="Q16" s="610">
        <v>0.16</v>
      </c>
      <c r="R16" s="610">
        <v>0.05</v>
      </c>
      <c r="S16" s="610">
        <v>7.0000000000000007E-2</v>
      </c>
      <c r="T16" s="610"/>
      <c r="U16" s="610"/>
      <c r="V16" s="610"/>
      <c r="W16" s="610"/>
      <c r="X16" s="610">
        <v>0.03</v>
      </c>
      <c r="Y16" s="610">
        <v>0.04</v>
      </c>
      <c r="Z16" s="610">
        <v>0.14000000000000001</v>
      </c>
      <c r="AA16" s="610">
        <v>0.04</v>
      </c>
      <c r="AB16" s="610">
        <v>7.0000000000000007E-2</v>
      </c>
      <c r="AC16" s="610">
        <v>0.03</v>
      </c>
      <c r="AD16" s="610">
        <v>0.03</v>
      </c>
      <c r="AE16" s="610">
        <v>0.01</v>
      </c>
      <c r="AF16" s="610">
        <v>7.0000000000000007E-2</v>
      </c>
      <c r="AG16" s="610">
        <v>7.0000000000000007E-2</v>
      </c>
      <c r="AH16" s="610">
        <v>0.06</v>
      </c>
      <c r="AI16" s="610">
        <v>0.08</v>
      </c>
      <c r="AJ16" s="610">
        <v>0.08</v>
      </c>
      <c r="AK16" s="610">
        <v>0.04</v>
      </c>
      <c r="AL16" s="610">
        <v>0.03</v>
      </c>
      <c r="AM16" s="610">
        <v>0.01</v>
      </c>
      <c r="AN16" s="610">
        <v>0.03</v>
      </c>
      <c r="AO16" s="610">
        <v>0.08</v>
      </c>
      <c r="AP16" s="610">
        <v>0.04</v>
      </c>
      <c r="AQ16" s="610">
        <v>0.04</v>
      </c>
      <c r="AR16" s="610">
        <v>0.04</v>
      </c>
      <c r="AS16" s="610"/>
      <c r="AT16" s="610">
        <v>2.1999999999999999E-2</v>
      </c>
      <c r="AU16" s="610"/>
      <c r="AV16" s="610">
        <v>0.04</v>
      </c>
      <c r="AW16" s="610">
        <v>0.04</v>
      </c>
      <c r="AX16" s="610">
        <v>0.06</v>
      </c>
      <c r="AY16" s="610">
        <v>0.04</v>
      </c>
      <c r="AZ16" s="610">
        <v>0.04</v>
      </c>
      <c r="BA16" s="610">
        <v>0.06</v>
      </c>
      <c r="BB16" s="610">
        <v>0.01</v>
      </c>
      <c r="BC16" s="610">
        <v>0.03</v>
      </c>
      <c r="BD16" s="610"/>
      <c r="BE16" s="610">
        <v>7.0000000000000007E-2</v>
      </c>
      <c r="BF16" s="610"/>
      <c r="BG16" s="610">
        <v>0.02</v>
      </c>
      <c r="BH16" s="610">
        <v>0.04</v>
      </c>
      <c r="BI16" s="610">
        <v>0.03</v>
      </c>
      <c r="BJ16" s="610">
        <v>0.03</v>
      </c>
      <c r="BK16" s="610">
        <v>0.04</v>
      </c>
      <c r="BL16" s="610">
        <v>0.04</v>
      </c>
      <c r="BM16" s="610">
        <v>0.06</v>
      </c>
      <c r="BN16" s="610"/>
      <c r="BO16" s="610">
        <v>0.03</v>
      </c>
      <c r="BP16" s="610">
        <v>0.04</v>
      </c>
      <c r="BQ16" s="622">
        <f t="shared" si="0"/>
        <v>2.4820000000000002</v>
      </c>
      <c r="BR16" s="623">
        <f t="shared" si="1"/>
        <v>77.900000000000006</v>
      </c>
    </row>
    <row r="17" spans="1:70" ht="13" x14ac:dyDescent="0.3">
      <c r="A17" s="838" t="s">
        <v>1876</v>
      </c>
      <c r="B17" s="839"/>
      <c r="C17" s="839"/>
      <c r="D17" s="839"/>
      <c r="E17" s="839"/>
      <c r="F17" s="839"/>
      <c r="G17" s="840"/>
      <c r="H17" s="607">
        <f t="shared" ref="H17:AC17" si="2">ROUND(SUMPRODUCT($F$6:$F$16,H6:H16),1)</f>
        <v>390.8</v>
      </c>
      <c r="I17" s="607">
        <f t="shared" si="2"/>
        <v>561</v>
      </c>
      <c r="J17" s="607">
        <f t="shared" si="2"/>
        <v>373.3</v>
      </c>
      <c r="K17" s="607">
        <f t="shared" si="2"/>
        <v>411.9</v>
      </c>
      <c r="L17" s="607">
        <f t="shared" si="2"/>
        <v>169.7</v>
      </c>
      <c r="M17" s="607">
        <f t="shared" si="2"/>
        <v>429.3</v>
      </c>
      <c r="N17" s="607">
        <f t="shared" si="2"/>
        <v>585.6</v>
      </c>
      <c r="O17" s="607">
        <f t="shared" si="2"/>
        <v>176.6</v>
      </c>
      <c r="P17" s="607">
        <f t="shared" si="2"/>
        <v>383.5</v>
      </c>
      <c r="Q17" s="607">
        <f t="shared" si="2"/>
        <v>562.1</v>
      </c>
      <c r="R17" s="607">
        <f t="shared" si="2"/>
        <v>513.5</v>
      </c>
      <c r="S17" s="607">
        <f t="shared" si="2"/>
        <v>352.4</v>
      </c>
      <c r="T17" s="607">
        <f t="shared" si="2"/>
        <v>32.1</v>
      </c>
      <c r="U17" s="607">
        <f t="shared" si="2"/>
        <v>65.3</v>
      </c>
      <c r="V17" s="607">
        <f t="shared" si="2"/>
        <v>101.6</v>
      </c>
      <c r="W17" s="607">
        <f t="shared" si="2"/>
        <v>127.6</v>
      </c>
      <c r="X17" s="607">
        <f t="shared" si="2"/>
        <v>380.7</v>
      </c>
      <c r="Y17" s="607">
        <f t="shared" si="2"/>
        <v>441.3</v>
      </c>
      <c r="Z17" s="607">
        <f t="shared" si="2"/>
        <v>523.6</v>
      </c>
      <c r="AA17" s="607">
        <f t="shared" si="2"/>
        <v>384.5</v>
      </c>
      <c r="AB17" s="607">
        <f t="shared" si="2"/>
        <v>403.3</v>
      </c>
      <c r="AC17" s="607">
        <f t="shared" si="2"/>
        <v>380.7</v>
      </c>
      <c r="AD17" s="607">
        <f t="shared" ref="AD17:BD17" si="3">ROUND(SUMPRODUCT($F$6:$F$16,AD6:AD16),1)</f>
        <v>383.4</v>
      </c>
      <c r="AE17" s="607">
        <f t="shared" si="3"/>
        <v>10.1</v>
      </c>
      <c r="AF17" s="607">
        <f t="shared" si="3"/>
        <v>1049.2</v>
      </c>
      <c r="AG17" s="607">
        <f t="shared" si="3"/>
        <v>727.2</v>
      </c>
      <c r="AH17" s="607">
        <f t="shared" si="3"/>
        <v>607.5</v>
      </c>
      <c r="AI17" s="607">
        <f t="shared" si="3"/>
        <v>734.6</v>
      </c>
      <c r="AJ17" s="607">
        <f t="shared" si="3"/>
        <v>595.29999999999995</v>
      </c>
      <c r="AK17" s="607">
        <f t="shared" si="3"/>
        <v>449.3</v>
      </c>
      <c r="AL17" s="607">
        <f>ROUND(SUMPRODUCT($F$6:$F$16,AL6:AL16),1)</f>
        <v>36.1</v>
      </c>
      <c r="AM17" s="607">
        <f>ROUND(SUMPRODUCT($F$6:$F$16,AM6:AM16),1)</f>
        <v>616.4</v>
      </c>
      <c r="AN17" s="607">
        <f t="shared" si="3"/>
        <v>171.8</v>
      </c>
      <c r="AO17" s="607">
        <f t="shared" si="3"/>
        <v>705.8</v>
      </c>
      <c r="AP17" s="607">
        <f t="shared" si="3"/>
        <v>179</v>
      </c>
      <c r="AQ17" s="607">
        <f t="shared" si="3"/>
        <v>390.9</v>
      </c>
      <c r="AR17" s="607">
        <f t="shared" si="3"/>
        <v>388</v>
      </c>
      <c r="AS17" s="607">
        <f t="shared" si="3"/>
        <v>58</v>
      </c>
      <c r="AT17" s="607">
        <f t="shared" si="3"/>
        <v>376.5</v>
      </c>
      <c r="AU17" s="607">
        <f t="shared" si="3"/>
        <v>36.4</v>
      </c>
      <c r="AV17" s="607">
        <f t="shared" si="3"/>
        <v>365.8</v>
      </c>
      <c r="AW17" s="607">
        <f t="shared" si="3"/>
        <v>401.7</v>
      </c>
      <c r="AX17" s="607">
        <f t="shared" si="3"/>
        <v>432.6</v>
      </c>
      <c r="AY17" s="607">
        <f t="shared" si="3"/>
        <v>420</v>
      </c>
      <c r="AZ17" s="607">
        <f t="shared" si="3"/>
        <v>391.3</v>
      </c>
      <c r="BA17" s="607">
        <f t="shared" si="3"/>
        <v>580.79999999999995</v>
      </c>
      <c r="BB17" s="607">
        <f t="shared" si="3"/>
        <v>15.4</v>
      </c>
      <c r="BC17" s="607">
        <f t="shared" si="3"/>
        <v>172.4</v>
      </c>
      <c r="BD17" s="607">
        <f t="shared" si="3"/>
        <v>32.6</v>
      </c>
      <c r="BE17" s="607">
        <f t="shared" ref="BE17:BP17" si="4">ROUND(SUMPRODUCT($F$6:$F$16,BE6:BE16),1)</f>
        <v>389.3</v>
      </c>
      <c r="BF17" s="607">
        <f t="shared" si="4"/>
        <v>60.8</v>
      </c>
      <c r="BG17" s="607">
        <f t="shared" si="4"/>
        <v>56.1</v>
      </c>
      <c r="BH17" s="607">
        <f t="shared" si="4"/>
        <v>415.7</v>
      </c>
      <c r="BI17" s="607">
        <f t="shared" si="4"/>
        <v>930.5</v>
      </c>
      <c r="BJ17" s="607">
        <f t="shared" si="4"/>
        <v>965.4</v>
      </c>
      <c r="BK17" s="607">
        <f t="shared" si="4"/>
        <v>66</v>
      </c>
      <c r="BL17" s="607">
        <f t="shared" si="4"/>
        <v>370.2</v>
      </c>
      <c r="BM17" s="607">
        <f t="shared" si="4"/>
        <v>409.5</v>
      </c>
      <c r="BN17" s="607">
        <f t="shared" si="4"/>
        <v>331.6</v>
      </c>
      <c r="BO17" s="607">
        <f t="shared" si="4"/>
        <v>29.5</v>
      </c>
      <c r="BP17" s="607">
        <f t="shared" si="4"/>
        <v>427.4</v>
      </c>
      <c r="BQ17" s="607"/>
      <c r="BR17" s="624">
        <f>SUM(BR6:BR16)</f>
        <v>22530.500000000004</v>
      </c>
    </row>
    <row r="18" spans="1:70" hidden="1" outlineLevel="1" x14ac:dyDescent="0.25">
      <c r="J18" s="605">
        <v>4</v>
      </c>
      <c r="K18" t="str">
        <f t="shared" ref="K18:M42" si="5">"ОП"&amp;J18&amp;", "&amp;K19</f>
        <v xml:space="preserve">ОП4, ОП6, ОП8, ОП10, ОП12, ОП25, ОП26а, ОП42, ОП44, ОП48, ОП50, ОП51, ОП63, ОП64, ОП75а, ОП78, ОП80а, ОП88, ОП112, ОП114, ОП116, ОП118, ОП125, ОП106, ОП131, </v>
      </c>
      <c r="L18">
        <v>15</v>
      </c>
      <c r="M18" t="str">
        <f t="shared" si="5"/>
        <v xml:space="preserve">ОП15, ОП19, ОП21, ОП36, ОП37, ОП39, ОП55, ОП57, ОП79, ОП87, ОП89, ОП92, ОП93, ОП101, ОП130, </v>
      </c>
      <c r="X18">
        <v>30</v>
      </c>
      <c r="Y18" t="str">
        <f t="shared" ref="Y18:AA23" si="6">"ОП"&amp;X18&amp;", "&amp;Y19</f>
        <v xml:space="preserve">ОП30, ОП31, ОП32, ОП33, ОП78а, ОП94, </v>
      </c>
      <c r="Z18">
        <v>38</v>
      </c>
      <c r="AA18" t="str">
        <f t="shared" si="6"/>
        <v xml:space="preserve">ОП38, ОП45, ОП46, ОП47, ОП59, ОП68, </v>
      </c>
      <c r="AD18">
        <v>52</v>
      </c>
      <c r="AE18" t="str">
        <f>"ОП"&amp;AD18&amp;", "&amp;AE19</f>
        <v xml:space="preserve">ОП52, ОП111, ОП113, ОП115, ОП117, </v>
      </c>
      <c r="AL18">
        <v>62</v>
      </c>
      <c r="AM18" t="str">
        <f>"ОП"&amp;AL18&amp;", "&amp;AM19</f>
        <v xml:space="preserve">ОП62, ОП65, ОП67, </v>
      </c>
      <c r="AN18">
        <v>71</v>
      </c>
      <c r="AO18" t="str">
        <f t="shared" ref="AO18:AQ20" si="7">"ОП"&amp;AN18&amp;", "&amp;AO19</f>
        <v xml:space="preserve">ОП71, ОП86, ОП107, </v>
      </c>
      <c r="AP18">
        <v>73</v>
      </c>
      <c r="AQ18" t="str">
        <f t="shared" si="7"/>
        <v xml:space="preserve">ОП73, ОП74, </v>
      </c>
      <c r="BD18">
        <v>99</v>
      </c>
      <c r="BE18" t="str">
        <f>"ОП"&amp;BD18&amp;", "&amp;BE19</f>
        <v xml:space="preserve">ОП99, ОП100, ОП102, ОП103, </v>
      </c>
      <c r="BI18">
        <v>119</v>
      </c>
      <c r="BJ18" t="str">
        <f>"ОП"&amp;BI18&amp;", "&amp;BJ19</f>
        <v xml:space="preserve">ОП119, ОП120, ОП121, </v>
      </c>
      <c r="BP18">
        <v>127</v>
      </c>
      <c r="BQ18" t="str">
        <f>"ОП"&amp;BP18&amp;", "&amp;BQ19</f>
        <v xml:space="preserve">ОП127, ОП128, ОП129, </v>
      </c>
    </row>
    <row r="19" spans="1:70" hidden="1" outlineLevel="1" x14ac:dyDescent="0.25">
      <c r="J19" s="605">
        <v>6</v>
      </c>
      <c r="K19" t="str">
        <f t="shared" si="5"/>
        <v xml:space="preserve">ОП6, ОП8, ОП10, ОП12, ОП25, ОП26а, ОП42, ОП44, ОП48, ОП50, ОП51, ОП63, ОП64, ОП75а, ОП78, ОП80а, ОП88, ОП112, ОП114, ОП116, ОП118, ОП125, ОП106, ОП131, </v>
      </c>
      <c r="L19">
        <v>19</v>
      </c>
      <c r="M19" t="str">
        <f t="shared" si="5"/>
        <v xml:space="preserve">ОП19, ОП21, ОП36, ОП37, ОП39, ОП55, ОП57, ОП79, ОП87, ОП89, ОП92, ОП93, ОП101, ОП130, </v>
      </c>
      <c r="X19">
        <v>31</v>
      </c>
      <c r="Y19" t="str">
        <f t="shared" si="6"/>
        <v xml:space="preserve">ОП31, ОП32, ОП33, ОП78а, ОП94, </v>
      </c>
      <c r="Z19">
        <v>45</v>
      </c>
      <c r="AA19" t="str">
        <f t="shared" si="6"/>
        <v xml:space="preserve">ОП45, ОП46, ОП47, ОП59, ОП68, </v>
      </c>
      <c r="AD19">
        <v>111</v>
      </c>
      <c r="AE19" t="str">
        <f>"ОП"&amp;AD19&amp;", "&amp;AE20</f>
        <v xml:space="preserve">ОП111, ОП113, ОП115, ОП117, </v>
      </c>
      <c r="AL19">
        <v>65</v>
      </c>
      <c r="AM19" t="str">
        <f>"ОП"&amp;AL19&amp;", "&amp;AM20</f>
        <v xml:space="preserve">ОП65, ОП67, </v>
      </c>
      <c r="AN19">
        <v>86</v>
      </c>
      <c r="AO19" t="str">
        <f t="shared" si="7"/>
        <v xml:space="preserve">ОП86, ОП107, </v>
      </c>
      <c r="AP19">
        <v>74</v>
      </c>
      <c r="AQ19" t="str">
        <f t="shared" si="7"/>
        <v xml:space="preserve">ОП74, </v>
      </c>
      <c r="BD19">
        <v>100</v>
      </c>
      <c r="BE19" t="str">
        <f>"ОП"&amp;BD19&amp;", "&amp;BE20</f>
        <v xml:space="preserve">ОП100, ОП102, ОП103, </v>
      </c>
      <c r="BI19">
        <v>120</v>
      </c>
      <c r="BJ19" t="str">
        <f>"ОП"&amp;BI19&amp;", "&amp;BJ20</f>
        <v xml:space="preserve">ОП120, ОП121, </v>
      </c>
      <c r="BP19">
        <v>128</v>
      </c>
      <c r="BQ19" t="str">
        <f>"ОП"&amp;BP19&amp;", "&amp;BQ20</f>
        <v xml:space="preserve">ОП128, ОП129, </v>
      </c>
    </row>
    <row r="20" spans="1:70" hidden="1" outlineLevel="1" x14ac:dyDescent="0.25">
      <c r="J20" s="605">
        <v>8</v>
      </c>
      <c r="K20" t="str">
        <f t="shared" si="5"/>
        <v xml:space="preserve">ОП8, ОП10, ОП12, ОП25, ОП26а, ОП42, ОП44, ОП48, ОП50, ОП51, ОП63, ОП64, ОП75а, ОП78, ОП80а, ОП88, ОП112, ОП114, ОП116, ОП118, ОП125, ОП106, ОП131, </v>
      </c>
      <c r="L20">
        <v>21</v>
      </c>
      <c r="M20" t="str">
        <f t="shared" si="5"/>
        <v xml:space="preserve">ОП21, ОП36, ОП37, ОП39, ОП55, ОП57, ОП79, ОП87, ОП89, ОП92, ОП93, ОП101, ОП130, </v>
      </c>
      <c r="X20">
        <v>32</v>
      </c>
      <c r="Y20" t="str">
        <f t="shared" si="6"/>
        <v xml:space="preserve">ОП32, ОП33, ОП78а, ОП94, </v>
      </c>
      <c r="Z20">
        <v>46</v>
      </c>
      <c r="AA20" t="str">
        <f t="shared" si="6"/>
        <v xml:space="preserve">ОП46, ОП47, ОП59, ОП68, </v>
      </c>
      <c r="AD20">
        <v>113</v>
      </c>
      <c r="AE20" t="str">
        <f>"ОП"&amp;AD20&amp;", "&amp;AE21</f>
        <v xml:space="preserve">ОП113, ОП115, ОП117, </v>
      </c>
      <c r="AL20">
        <v>67</v>
      </c>
      <c r="AM20" t="str">
        <f>"ОП"&amp;AL20&amp;", "&amp;AM21</f>
        <v xml:space="preserve">ОП67, </v>
      </c>
      <c r="AN20">
        <v>107</v>
      </c>
      <c r="AO20" t="str">
        <f t="shared" si="7"/>
        <v xml:space="preserve">ОП107, </v>
      </c>
      <c r="BD20">
        <v>102</v>
      </c>
      <c r="BE20" t="str">
        <f>"ОП"&amp;BD20&amp;", "&amp;BE21</f>
        <v xml:space="preserve">ОП102, ОП103, </v>
      </c>
      <c r="BI20">
        <v>121</v>
      </c>
      <c r="BJ20" t="str">
        <f>"ОП"&amp;BI20&amp;", "&amp;BJ21</f>
        <v xml:space="preserve">ОП121, </v>
      </c>
      <c r="BP20">
        <v>129</v>
      </c>
      <c r="BQ20" t="str">
        <f>"ОП"&amp;BP20&amp;", "&amp;BQ21</f>
        <v xml:space="preserve">ОП129, </v>
      </c>
    </row>
    <row r="21" spans="1:70" hidden="1" outlineLevel="1" x14ac:dyDescent="0.25">
      <c r="J21" s="605">
        <v>10</v>
      </c>
      <c r="K21" t="str">
        <f t="shared" si="5"/>
        <v xml:space="preserve">ОП10, ОП12, ОП25, ОП26а, ОП42, ОП44, ОП48, ОП50, ОП51, ОП63, ОП64, ОП75а, ОП78, ОП80а, ОП88, ОП112, ОП114, ОП116, ОП118, ОП125, ОП106, ОП131, </v>
      </c>
      <c r="L21">
        <v>36</v>
      </c>
      <c r="M21" t="str">
        <f t="shared" si="5"/>
        <v xml:space="preserve">ОП36, ОП37, ОП39, ОП55, ОП57, ОП79, ОП87, ОП89, ОП92, ОП93, ОП101, ОП130, </v>
      </c>
      <c r="X21">
        <v>33</v>
      </c>
      <c r="Y21" t="str">
        <f t="shared" si="6"/>
        <v xml:space="preserve">ОП33, ОП78а, ОП94, </v>
      </c>
      <c r="Z21">
        <v>47</v>
      </c>
      <c r="AA21" t="str">
        <f t="shared" si="6"/>
        <v xml:space="preserve">ОП47, ОП59, ОП68, </v>
      </c>
      <c r="AD21">
        <v>115</v>
      </c>
      <c r="AE21" t="str">
        <f>"ОП"&amp;AD21&amp;", "&amp;AE22</f>
        <v xml:space="preserve">ОП115, ОП117, </v>
      </c>
      <c r="AN21" s="603"/>
      <c r="BD21">
        <v>103</v>
      </c>
      <c r="BE21" t="str">
        <f>"ОП"&amp;BD21&amp;", "&amp;BE22</f>
        <v xml:space="preserve">ОП103, </v>
      </c>
    </row>
    <row r="22" spans="1:70" hidden="1" outlineLevel="1" x14ac:dyDescent="0.25">
      <c r="J22" s="605">
        <v>12</v>
      </c>
      <c r="K22" t="str">
        <f t="shared" si="5"/>
        <v xml:space="preserve">ОП12, ОП25, ОП26а, ОП42, ОП44, ОП48, ОП50, ОП51, ОП63, ОП64, ОП75а, ОП78, ОП80а, ОП88, ОП112, ОП114, ОП116, ОП118, ОП125, ОП106, ОП131, </v>
      </c>
      <c r="L22">
        <v>37</v>
      </c>
      <c r="M22" t="str">
        <f t="shared" si="5"/>
        <v xml:space="preserve">ОП37, ОП39, ОП55, ОП57, ОП79, ОП87, ОП89, ОП92, ОП93, ОП101, ОП130, </v>
      </c>
      <c r="X22" s="603" t="s">
        <v>1822</v>
      </c>
      <c r="Y22" t="str">
        <f t="shared" si="6"/>
        <v xml:space="preserve">ОП78а, ОП94, </v>
      </c>
      <c r="Z22">
        <v>59</v>
      </c>
      <c r="AA22" t="str">
        <f t="shared" si="6"/>
        <v xml:space="preserve">ОП59, ОП68, </v>
      </c>
      <c r="AD22">
        <v>117</v>
      </c>
      <c r="AE22" t="str">
        <f>"ОП"&amp;AD22&amp;", "&amp;F23</f>
        <v xml:space="preserve">ОП117, </v>
      </c>
    </row>
    <row r="23" spans="1:70" hidden="1" outlineLevel="1" x14ac:dyDescent="0.25">
      <c r="J23" s="605">
        <v>25</v>
      </c>
      <c r="K23" t="str">
        <f t="shared" si="5"/>
        <v xml:space="preserve">ОП25, ОП26а, ОП42, ОП44, ОП48, ОП50, ОП51, ОП63, ОП64, ОП75а, ОП78, ОП80а, ОП88, ОП112, ОП114, ОП116, ОП118, ОП125, ОП106, ОП131, </v>
      </c>
      <c r="L23">
        <v>39</v>
      </c>
      <c r="M23" t="str">
        <f t="shared" si="5"/>
        <v xml:space="preserve">ОП39, ОП55, ОП57, ОП79, ОП87, ОП89, ОП92, ОП93, ОП101, ОП130, </v>
      </c>
      <c r="X23">
        <v>94</v>
      </c>
      <c r="Y23" t="str">
        <f t="shared" si="6"/>
        <v xml:space="preserve">ОП94, </v>
      </c>
      <c r="Z23">
        <v>68</v>
      </c>
      <c r="AA23" t="str">
        <f t="shared" si="6"/>
        <v xml:space="preserve">ОП68, </v>
      </c>
    </row>
    <row r="24" spans="1:70" hidden="1" outlineLevel="1" x14ac:dyDescent="0.25">
      <c r="J24" s="606" t="s">
        <v>1807</v>
      </c>
      <c r="K24" t="str">
        <f t="shared" si="5"/>
        <v xml:space="preserve">ОП26а, ОП42, ОП44, ОП48, ОП50, ОП51, ОП63, ОП64, ОП75а, ОП78, ОП80а, ОП88, ОП112, ОП114, ОП116, ОП118, ОП125, ОП106, ОП131, </v>
      </c>
      <c r="L24">
        <v>55</v>
      </c>
      <c r="M24" t="str">
        <f t="shared" si="5"/>
        <v xml:space="preserve">ОП55, ОП57, ОП79, ОП87, ОП89, ОП92, ОП93, ОП101, ОП130, </v>
      </c>
    </row>
    <row r="25" spans="1:70" hidden="1" outlineLevel="1" x14ac:dyDescent="0.25">
      <c r="J25" s="605">
        <v>42</v>
      </c>
      <c r="K25" t="str">
        <f t="shared" si="5"/>
        <v xml:space="preserve">ОП42, ОП44, ОП48, ОП50, ОП51, ОП63, ОП64, ОП75а, ОП78, ОП80а, ОП88, ОП112, ОП114, ОП116, ОП118, ОП125, ОП106, ОП131, </v>
      </c>
      <c r="L25">
        <v>57</v>
      </c>
      <c r="M25" t="str">
        <f t="shared" si="5"/>
        <v xml:space="preserve">ОП57, ОП79, ОП87, ОП89, ОП92, ОП93, ОП101, ОП130, </v>
      </c>
    </row>
    <row r="26" spans="1:70" hidden="1" outlineLevel="1" x14ac:dyDescent="0.25">
      <c r="J26" s="605">
        <v>44</v>
      </c>
      <c r="K26" t="str">
        <f t="shared" si="5"/>
        <v xml:space="preserve">ОП44, ОП48, ОП50, ОП51, ОП63, ОП64, ОП75а, ОП78, ОП80а, ОП88, ОП112, ОП114, ОП116, ОП118, ОП125, ОП106, ОП131, </v>
      </c>
      <c r="L26">
        <v>79</v>
      </c>
      <c r="M26" t="str">
        <f t="shared" si="5"/>
        <v xml:space="preserve">ОП79, ОП87, ОП89, ОП92, ОП93, ОП101, ОП130, </v>
      </c>
    </row>
    <row r="27" spans="1:70" hidden="1" outlineLevel="1" x14ac:dyDescent="0.25">
      <c r="J27" s="605">
        <v>48</v>
      </c>
      <c r="K27" t="str">
        <f t="shared" si="5"/>
        <v xml:space="preserve">ОП48, ОП50, ОП51, ОП63, ОП64, ОП75а, ОП78, ОП80а, ОП88, ОП112, ОП114, ОП116, ОП118, ОП125, ОП106, ОП131, </v>
      </c>
      <c r="L27">
        <v>87</v>
      </c>
      <c r="M27" t="str">
        <f t="shared" si="5"/>
        <v xml:space="preserve">ОП87, ОП89, ОП92, ОП93, ОП101, ОП130, </v>
      </c>
    </row>
    <row r="28" spans="1:70" hidden="1" outlineLevel="1" x14ac:dyDescent="0.25">
      <c r="J28" s="605">
        <v>50</v>
      </c>
      <c r="K28" t="str">
        <f t="shared" si="5"/>
        <v xml:space="preserve">ОП50, ОП51, ОП63, ОП64, ОП75а, ОП78, ОП80а, ОП88, ОП112, ОП114, ОП116, ОП118, ОП125, ОП106, ОП131, </v>
      </c>
      <c r="L28">
        <v>89</v>
      </c>
      <c r="M28" t="str">
        <f t="shared" si="5"/>
        <v xml:space="preserve">ОП89, ОП92, ОП93, ОП101, ОП130, </v>
      </c>
    </row>
    <row r="29" spans="1:70" hidden="1" outlineLevel="1" x14ac:dyDescent="0.25">
      <c r="J29" s="605">
        <v>51</v>
      </c>
      <c r="K29" t="str">
        <f t="shared" si="5"/>
        <v xml:space="preserve">ОП51, ОП63, ОП64, ОП75а, ОП78, ОП80а, ОП88, ОП112, ОП114, ОП116, ОП118, ОП125, ОП106, ОП131, </v>
      </c>
      <c r="L29">
        <v>92</v>
      </c>
      <c r="M29" t="str">
        <f t="shared" si="5"/>
        <v xml:space="preserve">ОП92, ОП93, ОП101, ОП130, </v>
      </c>
    </row>
    <row r="30" spans="1:70" hidden="1" outlineLevel="1" x14ac:dyDescent="0.25">
      <c r="J30" s="605">
        <v>63</v>
      </c>
      <c r="K30" t="str">
        <f t="shared" si="5"/>
        <v xml:space="preserve">ОП63, ОП64, ОП75а, ОП78, ОП80а, ОП88, ОП112, ОП114, ОП116, ОП118, ОП125, ОП106, ОП131, </v>
      </c>
      <c r="L30">
        <v>93</v>
      </c>
      <c r="M30" t="str">
        <f t="shared" si="5"/>
        <v xml:space="preserve">ОП93, ОП101, ОП130, </v>
      </c>
    </row>
    <row r="31" spans="1:70" hidden="1" outlineLevel="1" x14ac:dyDescent="0.25">
      <c r="J31" s="605">
        <v>64</v>
      </c>
      <c r="K31" t="str">
        <f t="shared" si="5"/>
        <v xml:space="preserve">ОП64, ОП75а, ОП78, ОП80а, ОП88, ОП112, ОП114, ОП116, ОП118, ОП125, ОП106, ОП131, </v>
      </c>
      <c r="L31">
        <v>101</v>
      </c>
      <c r="M31" t="str">
        <f t="shared" si="5"/>
        <v xml:space="preserve">ОП101, ОП130, </v>
      </c>
    </row>
    <row r="32" spans="1:70" hidden="1" outlineLevel="1" x14ac:dyDescent="0.25">
      <c r="J32" s="606" t="s">
        <v>1808</v>
      </c>
      <c r="K32" t="str">
        <f t="shared" si="5"/>
        <v xml:space="preserve">ОП75а, ОП78, ОП80а, ОП88, ОП112, ОП114, ОП116, ОП118, ОП125, ОП106, ОП131, </v>
      </c>
      <c r="L32">
        <v>130</v>
      </c>
      <c r="M32" t="str">
        <f t="shared" si="5"/>
        <v xml:space="preserve">ОП130, </v>
      </c>
    </row>
    <row r="33" spans="1:20" hidden="1" outlineLevel="1" x14ac:dyDescent="0.25">
      <c r="J33" s="605">
        <v>78</v>
      </c>
      <c r="K33" t="str">
        <f t="shared" si="5"/>
        <v xml:space="preserve">ОП78, ОП80а, ОП88, ОП112, ОП114, ОП116, ОП118, ОП125, ОП106, ОП131, </v>
      </c>
    </row>
    <row r="34" spans="1:20" hidden="1" outlineLevel="1" x14ac:dyDescent="0.25">
      <c r="J34" s="606" t="s">
        <v>1809</v>
      </c>
      <c r="K34" t="str">
        <f t="shared" si="5"/>
        <v xml:space="preserve">ОП80а, ОП88, ОП112, ОП114, ОП116, ОП118, ОП125, ОП106, ОП131, </v>
      </c>
    </row>
    <row r="35" spans="1:20" hidden="1" outlineLevel="1" x14ac:dyDescent="0.25">
      <c r="J35" s="605">
        <v>88</v>
      </c>
      <c r="K35" t="str">
        <f t="shared" si="5"/>
        <v xml:space="preserve">ОП88, ОП112, ОП114, ОП116, ОП118, ОП125, ОП106, ОП131, </v>
      </c>
    </row>
    <row r="36" spans="1:20" hidden="1" outlineLevel="1" x14ac:dyDescent="0.25">
      <c r="J36" s="606">
        <v>112</v>
      </c>
      <c r="K36" t="str">
        <f t="shared" si="5"/>
        <v xml:space="preserve">ОП112, ОП114, ОП116, ОП118, ОП125, ОП106, ОП131, </v>
      </c>
    </row>
    <row r="37" spans="1:20" hidden="1" outlineLevel="1" x14ac:dyDescent="0.25">
      <c r="J37" s="605">
        <v>114</v>
      </c>
      <c r="K37" t="str">
        <f t="shared" si="5"/>
        <v xml:space="preserve">ОП114, ОП116, ОП118, ОП125, ОП106, ОП131, </v>
      </c>
    </row>
    <row r="38" spans="1:20" hidden="1" outlineLevel="1" x14ac:dyDescent="0.25">
      <c r="J38" s="606">
        <v>116</v>
      </c>
      <c r="K38" t="str">
        <f t="shared" si="5"/>
        <v xml:space="preserve">ОП116, ОП118, ОП125, ОП106, ОП131, </v>
      </c>
    </row>
    <row r="39" spans="1:20" hidden="1" outlineLevel="1" x14ac:dyDescent="0.25">
      <c r="J39">
        <v>118</v>
      </c>
      <c r="K39" t="str">
        <f t="shared" si="5"/>
        <v xml:space="preserve">ОП118, ОП125, ОП106, ОП131, </v>
      </c>
    </row>
    <row r="40" spans="1:20" hidden="1" outlineLevel="1" x14ac:dyDescent="0.25">
      <c r="J40" s="603">
        <v>125</v>
      </c>
      <c r="K40" t="str">
        <f t="shared" si="5"/>
        <v xml:space="preserve">ОП125, ОП106, ОП131, </v>
      </c>
    </row>
    <row r="41" spans="1:20" hidden="1" outlineLevel="1" x14ac:dyDescent="0.25">
      <c r="J41">
        <v>106</v>
      </c>
      <c r="K41" t="str">
        <f t="shared" si="5"/>
        <v xml:space="preserve">ОП106, ОП131, </v>
      </c>
    </row>
    <row r="42" spans="1:20" hidden="1" outlineLevel="1" x14ac:dyDescent="0.25">
      <c r="J42" s="603">
        <v>131</v>
      </c>
      <c r="K42" t="str">
        <f t="shared" si="5"/>
        <v xml:space="preserve">ОП131, </v>
      </c>
    </row>
    <row r="43" spans="1:20" collapsed="1" x14ac:dyDescent="0.25"/>
    <row r="44" spans="1:20" x14ac:dyDescent="0.25">
      <c r="A44" s="603" t="s">
        <v>1864</v>
      </c>
    </row>
    <row r="45" spans="1:20" ht="13" x14ac:dyDescent="0.3">
      <c r="A45" s="611"/>
      <c r="B45" s="835" t="s">
        <v>682</v>
      </c>
      <c r="C45" s="836"/>
      <c r="D45" s="836"/>
      <c r="E45" s="836"/>
      <c r="F45" s="836"/>
      <c r="G45" s="837"/>
      <c r="H45" s="613" t="s">
        <v>1772</v>
      </c>
      <c r="I45" s="99"/>
      <c r="J45" s="99"/>
      <c r="K45" s="99"/>
      <c r="L45" s="99"/>
      <c r="M45" s="99"/>
      <c r="N45" s="99"/>
      <c r="O45" s="99"/>
      <c r="P45" s="99"/>
      <c r="Q45" s="99"/>
      <c r="R45" s="614"/>
      <c r="S45" s="99"/>
      <c r="T45" s="614"/>
    </row>
    <row r="46" spans="1:20" ht="138" customHeight="1" x14ac:dyDescent="0.25">
      <c r="A46" s="612" t="s">
        <v>1768</v>
      </c>
      <c r="B46" s="618" t="s">
        <v>1770</v>
      </c>
      <c r="C46" s="612" t="s">
        <v>1769</v>
      </c>
      <c r="D46" s="612" t="s">
        <v>1771</v>
      </c>
      <c r="E46" s="612" t="s">
        <v>1769</v>
      </c>
      <c r="F46" s="619" t="s">
        <v>1827</v>
      </c>
      <c r="G46" s="619" t="s">
        <v>683</v>
      </c>
      <c r="H46" s="608" t="str">
        <f>I56</f>
        <v xml:space="preserve">ОЭ1, ОЭ2, ОЭ3, ОЭ4, ОЭ8, ОЭ11, ОЭ12, ОЭ13, ОЭ40, ОЭ41, ОЭ42, ОЭ43, </v>
      </c>
      <c r="I46" s="608" t="s">
        <v>1867</v>
      </c>
      <c r="J46" s="608" t="s">
        <v>1868</v>
      </c>
      <c r="K46" s="608" t="str">
        <f>L56</f>
        <v xml:space="preserve">ОЭ14, ОЭ15, ОЭ16, ОЭ17, ОЭ18, ОЭ19, ОЭ20, ОЭ21, ОЭ22, ОЭ23, ОЭ24, ОЭ25, ОЭ26, ОЭ27, ОЭ28, ОЭ29, ОЭ30, ОЭ31, ОЭ34, ОЭ35, ОЭ36, ОЭ37, ОЭ39, ОЭ52, ОЭ53, </v>
      </c>
      <c r="L46" s="608" t="s">
        <v>1869</v>
      </c>
      <c r="M46" s="608" t="s">
        <v>1870</v>
      </c>
      <c r="N46" s="608" t="s">
        <v>1871</v>
      </c>
      <c r="O46" s="608" t="s">
        <v>1872</v>
      </c>
      <c r="P46" s="608" t="s">
        <v>1873</v>
      </c>
      <c r="Q46" s="608" t="s">
        <v>1874</v>
      </c>
      <c r="R46" s="608" t="s">
        <v>1875</v>
      </c>
      <c r="S46" s="617" t="s">
        <v>1862</v>
      </c>
      <c r="T46" s="617" t="s">
        <v>1863</v>
      </c>
    </row>
    <row r="47" spans="1:20" ht="13" x14ac:dyDescent="0.3">
      <c r="A47" s="610" t="s">
        <v>1773</v>
      </c>
      <c r="B47" s="609" t="s">
        <v>1790</v>
      </c>
      <c r="C47" s="609" t="s">
        <v>1774</v>
      </c>
      <c r="D47" s="609" t="s">
        <v>1778</v>
      </c>
      <c r="E47" s="609" t="s">
        <v>1775</v>
      </c>
      <c r="F47" s="610">
        <v>41.63</v>
      </c>
      <c r="G47" s="609" t="s">
        <v>1828</v>
      </c>
      <c r="H47" s="610"/>
      <c r="I47" s="610"/>
      <c r="J47" s="610">
        <v>14.9</v>
      </c>
      <c r="K47" s="610"/>
      <c r="L47" s="610"/>
      <c r="M47" s="610"/>
      <c r="N47" s="610"/>
      <c r="O47" s="610">
        <v>14.74</v>
      </c>
      <c r="P47" s="610"/>
      <c r="Q47" s="610"/>
      <c r="R47" s="610"/>
      <c r="S47" s="622">
        <f t="shared" ref="S47:S54" si="8">SUM(H47:R47)</f>
        <v>29.64</v>
      </c>
      <c r="T47" s="623">
        <f t="shared" ref="T47:T54" si="9">ROUND(S47*F47,1)</f>
        <v>1233.9000000000001</v>
      </c>
    </row>
    <row r="48" spans="1:20" ht="13" x14ac:dyDescent="0.3">
      <c r="A48" s="609" t="s">
        <v>1776</v>
      </c>
      <c r="B48" s="609" t="s">
        <v>1791</v>
      </c>
      <c r="C48" s="610" t="s">
        <v>1774</v>
      </c>
      <c r="D48" s="609" t="s">
        <v>1778</v>
      </c>
      <c r="E48" s="609" t="s">
        <v>1775</v>
      </c>
      <c r="F48" s="610">
        <v>29.79</v>
      </c>
      <c r="G48" s="609" t="s">
        <v>1828</v>
      </c>
      <c r="H48" s="610">
        <v>12.8</v>
      </c>
      <c r="I48" s="610"/>
      <c r="J48" s="610"/>
      <c r="K48" s="610">
        <v>13.04</v>
      </c>
      <c r="L48" s="610">
        <v>13.04</v>
      </c>
      <c r="M48" s="610">
        <v>13.3</v>
      </c>
      <c r="N48" s="610">
        <v>12.63</v>
      </c>
      <c r="O48" s="610"/>
      <c r="P48" s="610">
        <v>14.04</v>
      </c>
      <c r="Q48" s="610"/>
      <c r="R48" s="610">
        <v>13.3</v>
      </c>
      <c r="S48" s="622">
        <f t="shared" si="8"/>
        <v>92.149999999999991</v>
      </c>
      <c r="T48" s="623">
        <f t="shared" si="9"/>
        <v>2745.1</v>
      </c>
    </row>
    <row r="49" spans="1:20" ht="13" x14ac:dyDescent="0.3">
      <c r="A49" s="610" t="s">
        <v>1781</v>
      </c>
      <c r="B49" s="610" t="s">
        <v>1784</v>
      </c>
      <c r="C49" s="610" t="s">
        <v>1785</v>
      </c>
      <c r="D49" s="610" t="s">
        <v>1786</v>
      </c>
      <c r="E49" s="610" t="s">
        <v>1787</v>
      </c>
      <c r="F49" s="610">
        <v>8.59</v>
      </c>
      <c r="G49" s="609" t="s">
        <v>1828</v>
      </c>
      <c r="H49" s="610"/>
      <c r="I49" s="610">
        <v>5.4</v>
      </c>
      <c r="J49" s="610"/>
      <c r="K49" s="610"/>
      <c r="L49" s="610"/>
      <c r="M49" s="610"/>
      <c r="N49" s="610"/>
      <c r="O49" s="610"/>
      <c r="P49" s="610"/>
      <c r="Q49" s="610">
        <v>6.2</v>
      </c>
      <c r="R49" s="610"/>
      <c r="S49" s="622">
        <f t="shared" si="8"/>
        <v>11.600000000000001</v>
      </c>
      <c r="T49" s="623">
        <f t="shared" si="9"/>
        <v>99.6</v>
      </c>
    </row>
    <row r="50" spans="1:20" ht="13" x14ac:dyDescent="0.3">
      <c r="A50" s="609" t="s">
        <v>1865</v>
      </c>
      <c r="B50" s="609" t="s">
        <v>1866</v>
      </c>
      <c r="C50" s="610" t="s">
        <v>1793</v>
      </c>
      <c r="D50" s="610" t="s">
        <v>1794</v>
      </c>
      <c r="E50" s="610" t="s">
        <v>1787</v>
      </c>
      <c r="F50" s="610">
        <v>4.8099999999999996</v>
      </c>
      <c r="G50" s="609" t="s">
        <v>1828</v>
      </c>
      <c r="H50" s="610"/>
      <c r="I50" s="610">
        <v>1</v>
      </c>
      <c r="J50" s="610"/>
      <c r="K50" s="610"/>
      <c r="L50" s="610"/>
      <c r="M50" s="610"/>
      <c r="N50" s="610"/>
      <c r="O50" s="610"/>
      <c r="P50" s="610"/>
      <c r="Q50" s="610">
        <v>1</v>
      </c>
      <c r="R50" s="610"/>
      <c r="S50" s="622">
        <f t="shared" si="8"/>
        <v>2</v>
      </c>
      <c r="T50" s="623">
        <f t="shared" si="9"/>
        <v>9.6</v>
      </c>
    </row>
    <row r="51" spans="1:20" ht="13" x14ac:dyDescent="0.3">
      <c r="A51" s="625" t="s">
        <v>1795</v>
      </c>
      <c r="B51" s="610" t="s">
        <v>1802</v>
      </c>
      <c r="C51" s="610" t="s">
        <v>1803</v>
      </c>
      <c r="D51" s="610" t="s">
        <v>1786</v>
      </c>
      <c r="E51" s="610" t="s">
        <v>1787</v>
      </c>
      <c r="F51" s="610">
        <v>78.5</v>
      </c>
      <c r="G51" s="609" t="s">
        <v>720</v>
      </c>
      <c r="H51" s="610">
        <v>0.21</v>
      </c>
      <c r="I51" s="610">
        <v>2.4E-2</v>
      </c>
      <c r="J51" s="610">
        <v>0.25</v>
      </c>
      <c r="K51" s="610">
        <v>0.21</v>
      </c>
      <c r="L51" s="610">
        <v>0.25</v>
      </c>
      <c r="M51" s="610">
        <v>0.21</v>
      </c>
      <c r="N51" s="610">
        <v>0.27</v>
      </c>
      <c r="O51" s="610">
        <v>0.25</v>
      </c>
      <c r="P51" s="610">
        <v>0.21</v>
      </c>
      <c r="Q51" s="610">
        <v>2.4E-2</v>
      </c>
      <c r="R51" s="610">
        <v>0.25</v>
      </c>
      <c r="S51" s="622">
        <f t="shared" si="8"/>
        <v>2.1579999999999999</v>
      </c>
      <c r="T51" s="623">
        <f t="shared" si="9"/>
        <v>169.4</v>
      </c>
    </row>
    <row r="52" spans="1:20" ht="13" x14ac:dyDescent="0.3">
      <c r="A52" s="625" t="s">
        <v>1796</v>
      </c>
      <c r="B52" s="610" t="s">
        <v>1799</v>
      </c>
      <c r="C52" s="610" t="s">
        <v>1803</v>
      </c>
      <c r="D52" s="610" t="s">
        <v>1804</v>
      </c>
      <c r="E52" s="610" t="s">
        <v>1787</v>
      </c>
      <c r="F52" s="610">
        <v>62.8</v>
      </c>
      <c r="G52" s="609" t="s">
        <v>720</v>
      </c>
      <c r="H52" s="610"/>
      <c r="I52" s="610"/>
      <c r="J52" s="610">
        <v>0.19</v>
      </c>
      <c r="K52" s="610"/>
      <c r="L52" s="610"/>
      <c r="M52" s="610"/>
      <c r="N52" s="610"/>
      <c r="O52" s="610">
        <v>0.19</v>
      </c>
      <c r="P52" s="610"/>
      <c r="Q52" s="610"/>
      <c r="R52" s="610"/>
      <c r="S52" s="622">
        <f t="shared" si="8"/>
        <v>0.38</v>
      </c>
      <c r="T52" s="623">
        <f t="shared" si="9"/>
        <v>23.9</v>
      </c>
    </row>
    <row r="53" spans="1:20" ht="13" x14ac:dyDescent="0.3">
      <c r="A53" s="625" t="s">
        <v>1797</v>
      </c>
      <c r="B53" s="610" t="s">
        <v>1800</v>
      </c>
      <c r="C53" s="610" t="s">
        <v>1803</v>
      </c>
      <c r="D53" s="610" t="s">
        <v>1804</v>
      </c>
      <c r="E53" s="610" t="s">
        <v>1787</v>
      </c>
      <c r="F53" s="610">
        <v>47.1</v>
      </c>
      <c r="G53" s="609" t="s">
        <v>720</v>
      </c>
      <c r="H53" s="610">
        <v>0.16</v>
      </c>
      <c r="I53" s="610">
        <v>7.5999999999999998E-2</v>
      </c>
      <c r="J53" s="610">
        <v>0.05</v>
      </c>
      <c r="K53" s="610">
        <v>0.33</v>
      </c>
      <c r="L53" s="610">
        <v>0.33</v>
      </c>
      <c r="M53" s="610">
        <v>0.16</v>
      </c>
      <c r="N53" s="610">
        <v>0.1</v>
      </c>
      <c r="O53" s="610">
        <v>0.2</v>
      </c>
      <c r="P53" s="610">
        <v>0.33</v>
      </c>
      <c r="Q53" s="610">
        <v>0.24</v>
      </c>
      <c r="R53" s="610">
        <v>0.16</v>
      </c>
      <c r="S53" s="622">
        <f t="shared" si="8"/>
        <v>2.1360000000000001</v>
      </c>
      <c r="T53" s="623">
        <f t="shared" si="9"/>
        <v>100.6</v>
      </c>
    </row>
    <row r="54" spans="1:20" ht="13" x14ac:dyDescent="0.3">
      <c r="A54" s="625" t="s">
        <v>1798</v>
      </c>
      <c r="B54" s="610" t="s">
        <v>1801</v>
      </c>
      <c r="C54" s="610" t="s">
        <v>1803</v>
      </c>
      <c r="D54" s="610" t="s">
        <v>1794</v>
      </c>
      <c r="E54" s="610" t="s">
        <v>1787</v>
      </c>
      <c r="F54" s="610">
        <v>31.4</v>
      </c>
      <c r="G54" s="609" t="s">
        <v>720</v>
      </c>
      <c r="H54" s="610">
        <v>0.04</v>
      </c>
      <c r="I54" s="610">
        <v>5.3999999999999999E-2</v>
      </c>
      <c r="J54" s="610">
        <v>6.3E-2</v>
      </c>
      <c r="K54" s="610">
        <v>0.04</v>
      </c>
      <c r="L54" s="610">
        <v>0.04</v>
      </c>
      <c r="M54" s="610">
        <v>0.04</v>
      </c>
      <c r="N54" s="610"/>
      <c r="O54" s="610">
        <v>0.63</v>
      </c>
      <c r="P54" s="610">
        <v>0.04</v>
      </c>
      <c r="Q54" s="610">
        <v>1.4999999999999999E-2</v>
      </c>
      <c r="R54" s="610">
        <v>0.04</v>
      </c>
      <c r="S54" s="622">
        <f t="shared" si="8"/>
        <v>1.002</v>
      </c>
      <c r="T54" s="623">
        <f t="shared" si="9"/>
        <v>31.5</v>
      </c>
    </row>
    <row r="55" spans="1:20" ht="13" x14ac:dyDescent="0.3">
      <c r="A55" s="838" t="s">
        <v>1829</v>
      </c>
      <c r="B55" s="839"/>
      <c r="C55" s="839"/>
      <c r="D55" s="839"/>
      <c r="E55" s="839"/>
      <c r="F55" s="839"/>
      <c r="G55" s="840"/>
      <c r="H55" s="607">
        <f t="shared" ref="H55:Q55" si="10">ROUND(SUMPRODUCT($F$47:$F$54,H47:H54),1)</f>
        <v>406.6</v>
      </c>
      <c r="I55" s="607">
        <f t="shared" si="10"/>
        <v>58.4</v>
      </c>
      <c r="J55" s="607">
        <f t="shared" si="10"/>
        <v>656.2</v>
      </c>
      <c r="K55" s="607">
        <f t="shared" si="10"/>
        <v>421.7</v>
      </c>
      <c r="L55" s="607">
        <f t="shared" si="10"/>
        <v>424.9</v>
      </c>
      <c r="M55" s="607">
        <f t="shared" si="10"/>
        <v>421.5</v>
      </c>
      <c r="N55" s="607">
        <f t="shared" si="10"/>
        <v>402.2</v>
      </c>
      <c r="O55" s="607">
        <f t="shared" si="10"/>
        <v>674.4</v>
      </c>
      <c r="P55" s="607">
        <f t="shared" si="10"/>
        <v>451.5</v>
      </c>
      <c r="Q55" s="607">
        <f t="shared" si="10"/>
        <v>71.7</v>
      </c>
      <c r="R55" s="607">
        <f t="array" ref="R55">ROUND(SUMPRODUCT($F$47:$F$54,R47:R54),1)</f>
        <v>424.6</v>
      </c>
      <c r="S55" s="622"/>
      <c r="T55" s="623">
        <f>SUM(T47:T54)</f>
        <v>4413.5999999999995</v>
      </c>
    </row>
    <row r="56" spans="1:20" hidden="1" outlineLevel="1" x14ac:dyDescent="0.25">
      <c r="H56" s="605">
        <v>1</v>
      </c>
      <c r="I56" t="str">
        <f t="shared" ref="I56:I67" si="11">"ОЭ"&amp;H56&amp;", "&amp;I57</f>
        <v xml:space="preserve">ОЭ1, ОЭ2, ОЭ3, ОЭ4, ОЭ8, ОЭ11, ОЭ12, ОЭ13, ОЭ40, ОЭ41, ОЭ42, ОЭ43, </v>
      </c>
      <c r="K56">
        <v>14</v>
      </c>
      <c r="L56" t="str">
        <f t="shared" ref="L56:L80" si="12">"ОЭ"&amp;K56&amp;", "&amp;L57</f>
        <v xml:space="preserve">ОЭ14, ОЭ15, ОЭ16, ОЭ17, ОЭ18, ОЭ19, ОЭ20, ОЭ21, ОЭ22, ОЭ23, ОЭ24, ОЭ25, ОЭ26, ОЭ27, ОЭ28, ОЭ29, ОЭ30, ОЭ31, ОЭ34, ОЭ35, ОЭ36, ОЭ37, ОЭ39, ОЭ52, ОЭ53, </v>
      </c>
    </row>
    <row r="57" spans="1:20" hidden="1" outlineLevel="1" x14ac:dyDescent="0.25">
      <c r="H57" s="605">
        <v>2</v>
      </c>
      <c r="I57" t="str">
        <f t="shared" si="11"/>
        <v xml:space="preserve">ОЭ2, ОЭ3, ОЭ4, ОЭ8, ОЭ11, ОЭ12, ОЭ13, ОЭ40, ОЭ41, ОЭ42, ОЭ43, </v>
      </c>
      <c r="K57">
        <v>15</v>
      </c>
      <c r="L57" t="str">
        <f t="shared" si="12"/>
        <v xml:space="preserve">ОЭ15, ОЭ16, ОЭ17, ОЭ18, ОЭ19, ОЭ20, ОЭ21, ОЭ22, ОЭ23, ОЭ24, ОЭ25, ОЭ26, ОЭ27, ОЭ28, ОЭ29, ОЭ30, ОЭ31, ОЭ34, ОЭ35, ОЭ36, ОЭ37, ОЭ39, ОЭ52, ОЭ53, </v>
      </c>
    </row>
    <row r="58" spans="1:20" hidden="1" outlineLevel="1" x14ac:dyDescent="0.25">
      <c r="H58">
        <v>3</v>
      </c>
      <c r="I58" t="str">
        <f t="shared" si="11"/>
        <v xml:space="preserve">ОЭ3, ОЭ4, ОЭ8, ОЭ11, ОЭ12, ОЭ13, ОЭ40, ОЭ41, ОЭ42, ОЭ43, </v>
      </c>
      <c r="K58">
        <v>16</v>
      </c>
      <c r="L58" t="str">
        <f t="shared" si="12"/>
        <v xml:space="preserve">ОЭ16, ОЭ17, ОЭ18, ОЭ19, ОЭ20, ОЭ21, ОЭ22, ОЭ23, ОЭ24, ОЭ25, ОЭ26, ОЭ27, ОЭ28, ОЭ29, ОЭ30, ОЭ31, ОЭ34, ОЭ35, ОЭ36, ОЭ37, ОЭ39, ОЭ52, ОЭ53, </v>
      </c>
    </row>
    <row r="59" spans="1:20" hidden="1" outlineLevel="1" x14ac:dyDescent="0.25">
      <c r="H59">
        <v>4</v>
      </c>
      <c r="I59" t="str">
        <f t="shared" si="11"/>
        <v xml:space="preserve">ОЭ4, ОЭ8, ОЭ11, ОЭ12, ОЭ13, ОЭ40, ОЭ41, ОЭ42, ОЭ43, </v>
      </c>
      <c r="K59">
        <v>17</v>
      </c>
      <c r="L59" t="str">
        <f t="shared" si="12"/>
        <v xml:space="preserve">ОЭ17, ОЭ18, ОЭ19, ОЭ20, ОЭ21, ОЭ22, ОЭ23, ОЭ24, ОЭ25, ОЭ26, ОЭ27, ОЭ28, ОЭ29, ОЭ30, ОЭ31, ОЭ34, ОЭ35, ОЭ36, ОЭ37, ОЭ39, ОЭ52, ОЭ53, </v>
      </c>
    </row>
    <row r="60" spans="1:20" hidden="1" outlineLevel="1" x14ac:dyDescent="0.25">
      <c r="H60">
        <v>8</v>
      </c>
      <c r="I60" t="str">
        <f t="shared" si="11"/>
        <v xml:space="preserve">ОЭ8, ОЭ11, ОЭ12, ОЭ13, ОЭ40, ОЭ41, ОЭ42, ОЭ43, </v>
      </c>
      <c r="K60">
        <v>18</v>
      </c>
      <c r="L60" t="str">
        <f t="shared" si="12"/>
        <v xml:space="preserve">ОЭ18, ОЭ19, ОЭ20, ОЭ21, ОЭ22, ОЭ23, ОЭ24, ОЭ25, ОЭ26, ОЭ27, ОЭ28, ОЭ29, ОЭ30, ОЭ31, ОЭ34, ОЭ35, ОЭ36, ОЭ37, ОЭ39, ОЭ52, ОЭ53, </v>
      </c>
    </row>
    <row r="61" spans="1:20" hidden="1" outlineLevel="1" x14ac:dyDescent="0.25">
      <c r="H61">
        <v>11</v>
      </c>
      <c r="I61" t="str">
        <f t="shared" si="11"/>
        <v xml:space="preserve">ОЭ11, ОЭ12, ОЭ13, ОЭ40, ОЭ41, ОЭ42, ОЭ43, </v>
      </c>
      <c r="K61">
        <v>19</v>
      </c>
      <c r="L61" t="str">
        <f t="shared" si="12"/>
        <v xml:space="preserve">ОЭ19, ОЭ20, ОЭ21, ОЭ22, ОЭ23, ОЭ24, ОЭ25, ОЭ26, ОЭ27, ОЭ28, ОЭ29, ОЭ30, ОЭ31, ОЭ34, ОЭ35, ОЭ36, ОЭ37, ОЭ39, ОЭ52, ОЭ53, </v>
      </c>
    </row>
    <row r="62" spans="1:20" hidden="1" outlineLevel="1" x14ac:dyDescent="0.25">
      <c r="H62">
        <v>12</v>
      </c>
      <c r="I62" t="str">
        <f t="shared" si="11"/>
        <v xml:space="preserve">ОЭ12, ОЭ13, ОЭ40, ОЭ41, ОЭ42, ОЭ43, </v>
      </c>
      <c r="K62">
        <v>20</v>
      </c>
      <c r="L62" t="str">
        <f t="shared" si="12"/>
        <v xml:space="preserve">ОЭ20, ОЭ21, ОЭ22, ОЭ23, ОЭ24, ОЭ25, ОЭ26, ОЭ27, ОЭ28, ОЭ29, ОЭ30, ОЭ31, ОЭ34, ОЭ35, ОЭ36, ОЭ37, ОЭ39, ОЭ52, ОЭ53, </v>
      </c>
    </row>
    <row r="63" spans="1:20" hidden="1" outlineLevel="1" x14ac:dyDescent="0.25">
      <c r="H63">
        <v>13</v>
      </c>
      <c r="I63" t="str">
        <f t="shared" si="11"/>
        <v xml:space="preserve">ОЭ13, ОЭ40, ОЭ41, ОЭ42, ОЭ43, </v>
      </c>
      <c r="K63">
        <v>21</v>
      </c>
      <c r="L63" t="str">
        <f t="shared" si="12"/>
        <v xml:space="preserve">ОЭ21, ОЭ22, ОЭ23, ОЭ24, ОЭ25, ОЭ26, ОЭ27, ОЭ28, ОЭ29, ОЭ30, ОЭ31, ОЭ34, ОЭ35, ОЭ36, ОЭ37, ОЭ39, ОЭ52, ОЭ53, </v>
      </c>
    </row>
    <row r="64" spans="1:20" hidden="1" outlineLevel="1" x14ac:dyDescent="0.25">
      <c r="H64">
        <v>40</v>
      </c>
      <c r="I64" t="str">
        <f t="shared" si="11"/>
        <v xml:space="preserve">ОЭ40, ОЭ41, ОЭ42, ОЭ43, </v>
      </c>
      <c r="K64">
        <v>22</v>
      </c>
      <c r="L64" t="str">
        <f t="shared" si="12"/>
        <v xml:space="preserve">ОЭ22, ОЭ23, ОЭ24, ОЭ25, ОЭ26, ОЭ27, ОЭ28, ОЭ29, ОЭ30, ОЭ31, ОЭ34, ОЭ35, ОЭ36, ОЭ37, ОЭ39, ОЭ52, ОЭ53, </v>
      </c>
    </row>
    <row r="65" spans="8:12" hidden="1" outlineLevel="1" x14ac:dyDescent="0.25">
      <c r="H65">
        <v>41</v>
      </c>
      <c r="I65" t="str">
        <f t="shared" si="11"/>
        <v xml:space="preserve">ОЭ41, ОЭ42, ОЭ43, </v>
      </c>
      <c r="K65">
        <v>23</v>
      </c>
      <c r="L65" t="str">
        <f t="shared" si="12"/>
        <v xml:space="preserve">ОЭ23, ОЭ24, ОЭ25, ОЭ26, ОЭ27, ОЭ28, ОЭ29, ОЭ30, ОЭ31, ОЭ34, ОЭ35, ОЭ36, ОЭ37, ОЭ39, ОЭ52, ОЭ53, </v>
      </c>
    </row>
    <row r="66" spans="8:12" hidden="1" outlineLevel="1" x14ac:dyDescent="0.25">
      <c r="H66">
        <v>42</v>
      </c>
      <c r="I66" t="str">
        <f t="shared" si="11"/>
        <v xml:space="preserve">ОЭ42, ОЭ43, </v>
      </c>
      <c r="K66">
        <v>24</v>
      </c>
      <c r="L66" t="str">
        <f t="shared" si="12"/>
        <v xml:space="preserve">ОЭ24, ОЭ25, ОЭ26, ОЭ27, ОЭ28, ОЭ29, ОЭ30, ОЭ31, ОЭ34, ОЭ35, ОЭ36, ОЭ37, ОЭ39, ОЭ52, ОЭ53, </v>
      </c>
    </row>
    <row r="67" spans="8:12" hidden="1" outlineLevel="1" x14ac:dyDescent="0.25">
      <c r="H67">
        <v>43</v>
      </c>
      <c r="I67" t="str">
        <f t="shared" si="11"/>
        <v xml:space="preserve">ОЭ43, </v>
      </c>
      <c r="K67">
        <v>25</v>
      </c>
      <c r="L67" t="str">
        <f t="shared" si="12"/>
        <v xml:space="preserve">ОЭ25, ОЭ26, ОЭ27, ОЭ28, ОЭ29, ОЭ30, ОЭ31, ОЭ34, ОЭ35, ОЭ36, ОЭ37, ОЭ39, ОЭ52, ОЭ53, </v>
      </c>
    </row>
    <row r="68" spans="8:12" hidden="1" outlineLevel="1" x14ac:dyDescent="0.25">
      <c r="K68">
        <v>26</v>
      </c>
      <c r="L68" t="str">
        <f t="shared" si="12"/>
        <v xml:space="preserve">ОЭ26, ОЭ27, ОЭ28, ОЭ29, ОЭ30, ОЭ31, ОЭ34, ОЭ35, ОЭ36, ОЭ37, ОЭ39, ОЭ52, ОЭ53, </v>
      </c>
    </row>
    <row r="69" spans="8:12" hidden="1" outlineLevel="1" x14ac:dyDescent="0.25">
      <c r="K69">
        <v>27</v>
      </c>
      <c r="L69" t="str">
        <f t="shared" si="12"/>
        <v xml:space="preserve">ОЭ27, ОЭ28, ОЭ29, ОЭ30, ОЭ31, ОЭ34, ОЭ35, ОЭ36, ОЭ37, ОЭ39, ОЭ52, ОЭ53, </v>
      </c>
    </row>
    <row r="70" spans="8:12" hidden="1" outlineLevel="1" x14ac:dyDescent="0.25">
      <c r="K70">
        <v>28</v>
      </c>
      <c r="L70" t="str">
        <f t="shared" si="12"/>
        <v xml:space="preserve">ОЭ28, ОЭ29, ОЭ30, ОЭ31, ОЭ34, ОЭ35, ОЭ36, ОЭ37, ОЭ39, ОЭ52, ОЭ53, </v>
      </c>
    </row>
    <row r="71" spans="8:12" hidden="1" outlineLevel="1" x14ac:dyDescent="0.25">
      <c r="K71">
        <v>29</v>
      </c>
      <c r="L71" t="str">
        <f t="shared" si="12"/>
        <v xml:space="preserve">ОЭ29, ОЭ30, ОЭ31, ОЭ34, ОЭ35, ОЭ36, ОЭ37, ОЭ39, ОЭ52, ОЭ53, </v>
      </c>
    </row>
    <row r="72" spans="8:12" hidden="1" outlineLevel="1" x14ac:dyDescent="0.25">
      <c r="K72">
        <v>30</v>
      </c>
      <c r="L72" t="str">
        <f t="shared" si="12"/>
        <v xml:space="preserve">ОЭ30, ОЭ31, ОЭ34, ОЭ35, ОЭ36, ОЭ37, ОЭ39, ОЭ52, ОЭ53, </v>
      </c>
    </row>
    <row r="73" spans="8:12" hidden="1" outlineLevel="1" x14ac:dyDescent="0.25">
      <c r="K73">
        <v>31</v>
      </c>
      <c r="L73" t="str">
        <f t="shared" si="12"/>
        <v xml:space="preserve">ОЭ31, ОЭ34, ОЭ35, ОЭ36, ОЭ37, ОЭ39, ОЭ52, ОЭ53, </v>
      </c>
    </row>
    <row r="74" spans="8:12" hidden="1" outlineLevel="1" x14ac:dyDescent="0.25">
      <c r="K74">
        <v>34</v>
      </c>
      <c r="L74" t="str">
        <f t="shared" si="12"/>
        <v xml:space="preserve">ОЭ34, ОЭ35, ОЭ36, ОЭ37, ОЭ39, ОЭ52, ОЭ53, </v>
      </c>
    </row>
    <row r="75" spans="8:12" hidden="1" outlineLevel="1" x14ac:dyDescent="0.25">
      <c r="K75">
        <v>35</v>
      </c>
      <c r="L75" t="str">
        <f t="shared" si="12"/>
        <v xml:space="preserve">ОЭ35, ОЭ36, ОЭ37, ОЭ39, ОЭ52, ОЭ53, </v>
      </c>
    </row>
    <row r="76" spans="8:12" hidden="1" outlineLevel="1" x14ac:dyDescent="0.25">
      <c r="K76">
        <v>36</v>
      </c>
      <c r="L76" t="str">
        <f t="shared" si="12"/>
        <v xml:space="preserve">ОЭ36, ОЭ37, ОЭ39, ОЭ52, ОЭ53, </v>
      </c>
    </row>
    <row r="77" spans="8:12" hidden="1" outlineLevel="1" x14ac:dyDescent="0.25">
      <c r="K77">
        <v>37</v>
      </c>
      <c r="L77" t="str">
        <f t="shared" si="12"/>
        <v xml:space="preserve">ОЭ37, ОЭ39, ОЭ52, ОЭ53, </v>
      </c>
    </row>
    <row r="78" spans="8:12" hidden="1" outlineLevel="1" x14ac:dyDescent="0.25">
      <c r="K78">
        <v>39</v>
      </c>
      <c r="L78" t="str">
        <f t="shared" si="12"/>
        <v xml:space="preserve">ОЭ39, ОЭ52, ОЭ53, </v>
      </c>
    </row>
    <row r="79" spans="8:12" hidden="1" outlineLevel="1" x14ac:dyDescent="0.25">
      <c r="K79">
        <v>52</v>
      </c>
      <c r="L79" t="str">
        <f t="shared" si="12"/>
        <v xml:space="preserve">ОЭ52, ОЭ53, </v>
      </c>
    </row>
    <row r="80" spans="8:12" hidden="1" outlineLevel="1" x14ac:dyDescent="0.25">
      <c r="K80">
        <v>53</v>
      </c>
      <c r="L80" t="str">
        <f t="shared" si="12"/>
        <v xml:space="preserve">ОЭ53, </v>
      </c>
    </row>
    <row r="81" collapsed="1" x14ac:dyDescent="0.25"/>
  </sheetData>
  <mergeCells count="4">
    <mergeCell ref="B4:G4"/>
    <mergeCell ref="A17:G17"/>
    <mergeCell ref="B45:G45"/>
    <mergeCell ref="A55:G5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10</vt:i4>
      </vt:variant>
    </vt:vector>
  </HeadingPairs>
  <TitlesOfParts>
    <vt:vector size="16" baseType="lpstr">
      <vt:lpstr>ТЗ</vt:lpstr>
      <vt:lpstr>РВ</vt:lpstr>
      <vt:lpstr>Оборуд</vt:lpstr>
      <vt:lpstr>стОборуд</vt:lpstr>
      <vt:lpstr>ст</vt:lpstr>
      <vt:lpstr>СпецОпорИнжЭлектрСетей</vt:lpstr>
      <vt:lpstr>вахта</vt:lpstr>
      <vt:lpstr>врем</vt:lpstr>
      <vt:lpstr>ССР!Заголовки_для_печати</vt:lpstr>
      <vt:lpstr>стОборуд!Заголовки_для_печати</vt:lpstr>
      <vt:lpstr>зим</vt:lpstr>
      <vt:lpstr>РВ!Область_печати</vt:lpstr>
      <vt:lpstr>ССР!Область_печати</vt:lpstr>
      <vt:lpstr>Оборуд.</vt:lpstr>
      <vt:lpstr>прочие</vt:lpstr>
      <vt:lpstr>СМР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Саковец Артем Сергеевич</dc:creator>
  <cp:lastModifiedBy>Хамидулин Саяр Гаярович</cp:lastModifiedBy>
  <cp:lastPrinted>2021-06-07T10:07:20Z</cp:lastPrinted>
  <dcterms:created xsi:type="dcterms:W3CDTF">1996-10-14T23:33:28Z</dcterms:created>
  <dcterms:modified xsi:type="dcterms:W3CDTF">2025-08-21T11:42:27Z</dcterms:modified>
</cp:coreProperties>
</file>